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88000-21688999\21688243\L\L\"/>
    </mc:Choice>
  </mc:AlternateContent>
  <xr:revisionPtr revIDLastSave="0" documentId="13_ncr:1_{C523FFF8-E5DF-4C7C-A8D1-6C65D5A9C2B7}" xr6:coauthVersionLast="47" xr6:coauthVersionMax="47" xr10:uidLastSave="{00000000-0000-0000-0000-000000000000}"/>
  <bookViews>
    <workbookView xWindow="51480" yWindow="-120" windowWidth="51840" windowHeight="211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8" i="4" l="1"/>
  <c r="AG10" i="9"/>
  <c r="AE10" i="9"/>
  <c r="AA10" i="9"/>
  <c r="U10" i="9"/>
  <c r="O10" i="9"/>
  <c r="Q10" i="9"/>
  <c r="S10" i="9" s="1"/>
  <c r="M10" i="9"/>
  <c r="K10" i="9"/>
  <c r="I10" i="9"/>
  <c r="G10" i="9"/>
  <c r="W10" i="9" l="1"/>
  <c r="Y10" i="9" s="1"/>
  <c r="AC10" i="9" s="1"/>
  <c r="E43" i="25" l="1"/>
  <c r="E42" i="25"/>
  <c r="E587" i="6"/>
  <c r="E582" i="6"/>
  <c r="C93" i="18"/>
  <c r="C92" i="18"/>
  <c r="C91" i="18"/>
  <c r="C90" i="18"/>
  <c r="C89" i="18"/>
  <c r="C88" i="18"/>
  <c r="C87" i="18"/>
  <c r="C86" i="18"/>
  <c r="C85" i="18"/>
  <c r="C82" i="18"/>
  <c r="F93" i="18"/>
  <c r="F92" i="18"/>
  <c r="F91" i="18"/>
  <c r="F90" i="18"/>
  <c r="F89" i="18"/>
  <c r="F88" i="18"/>
  <c r="F87" i="18"/>
  <c r="F85" i="18"/>
  <c r="F82" i="18"/>
  <c r="F78" i="18"/>
  <c r="F77" i="18"/>
  <c r="C78" i="18"/>
  <c r="C77" i="18"/>
  <c r="C74" i="18"/>
  <c r="C72" i="18"/>
  <c r="C71" i="18"/>
  <c r="C70" i="18"/>
  <c r="F67" i="18"/>
  <c r="F66" i="18"/>
  <c r="F65" i="18"/>
  <c r="F64" i="18"/>
  <c r="F63" i="18"/>
  <c r="C67" i="18"/>
  <c r="C66" i="18"/>
  <c r="C65" i="18"/>
  <c r="C64" i="18"/>
  <c r="C63" i="18"/>
  <c r="C57" i="18"/>
  <c r="C56" i="18"/>
  <c r="C55" i="18"/>
  <c r="C54" i="18"/>
  <c r="F51" i="18"/>
  <c r="F50" i="18"/>
  <c r="F49" i="18"/>
  <c r="F48" i="18"/>
  <c r="F47" i="18"/>
  <c r="F46" i="18"/>
  <c r="F45" i="18"/>
  <c r="F44" i="18"/>
  <c r="F42" i="18"/>
  <c r="F40" i="18"/>
  <c r="F39" i="18"/>
  <c r="F36" i="18"/>
  <c r="F35" i="18"/>
  <c r="F34" i="18"/>
  <c r="F33" i="18"/>
  <c r="F32" i="18"/>
  <c r="F31" i="18"/>
  <c r="F30" i="18"/>
  <c r="F29" i="18"/>
  <c r="F28" i="18"/>
  <c r="C51" i="18"/>
  <c r="C50" i="18"/>
  <c r="C49" i="18"/>
  <c r="C48" i="18"/>
  <c r="C47" i="18"/>
  <c r="C46" i="18"/>
  <c r="C45" i="18"/>
  <c r="C44" i="18"/>
  <c r="C42" i="18"/>
  <c r="C40" i="18"/>
  <c r="C39" i="18"/>
  <c r="C36" i="18"/>
  <c r="C35" i="18"/>
  <c r="C34" i="18"/>
  <c r="C33" i="18"/>
  <c r="C32" i="18"/>
  <c r="C31" i="18"/>
  <c r="C30" i="18"/>
  <c r="C29" i="18"/>
  <c r="C28" i="18"/>
  <c r="C4" i="18"/>
  <c r="S94" i="4"/>
  <c r="S93" i="4"/>
  <c r="S92" i="4"/>
  <c r="S91" i="4"/>
  <c r="S90" i="4"/>
  <c r="S89" i="4"/>
  <c r="S88" i="4"/>
  <c r="S86" i="4"/>
  <c r="S83" i="4"/>
  <c r="S79" i="4"/>
  <c r="S78" i="4"/>
  <c r="S68" i="4"/>
  <c r="S67" i="4"/>
  <c r="S66" i="4"/>
  <c r="S65" i="4"/>
  <c r="S64" i="4"/>
  <c r="S52" i="4"/>
  <c r="S51" i="4"/>
  <c r="S50" i="4"/>
  <c r="S49" i="4"/>
  <c r="S48" i="4"/>
  <c r="S47" i="4"/>
  <c r="S46" i="4"/>
  <c r="S43" i="4"/>
  <c r="S41" i="4"/>
  <c r="S40" i="4"/>
  <c r="S36" i="4"/>
  <c r="S35" i="4"/>
  <c r="S34" i="4"/>
  <c r="S33" i="4"/>
  <c r="S32" i="4"/>
  <c r="S31" i="4"/>
  <c r="S30" i="4"/>
  <c r="S29" i="4"/>
  <c r="E94" i="4"/>
  <c r="E93" i="4"/>
  <c r="E92" i="4"/>
  <c r="E91" i="4"/>
  <c r="E90" i="4"/>
  <c r="E89" i="4"/>
  <c r="E88" i="4"/>
  <c r="E87" i="4"/>
  <c r="E86" i="4"/>
  <c r="E85" i="4"/>
  <c r="E84" i="4"/>
  <c r="E83" i="4"/>
  <c r="E82" i="4"/>
  <c r="E79" i="4"/>
  <c r="E78" i="4"/>
  <c r="E75" i="4"/>
  <c r="E74" i="4"/>
  <c r="E64" i="4"/>
  <c r="E71" i="4"/>
  <c r="E68" i="4"/>
  <c r="E67" i="4"/>
  <c r="E66" i="4"/>
  <c r="E65" i="4"/>
  <c r="E57" i="4"/>
  <c r="E56" i="4"/>
  <c r="E52" i="4"/>
  <c r="E51" i="4"/>
  <c r="E50" i="4"/>
  <c r="E49" i="4"/>
  <c r="E48" i="4"/>
  <c r="E47" i="4"/>
  <c r="E46" i="4"/>
  <c r="E45" i="4"/>
  <c r="E43" i="4"/>
  <c r="E41" i="4"/>
  <c r="E40" i="4"/>
  <c r="E37" i="4"/>
  <c r="E36" i="4"/>
  <c r="E35" i="4"/>
  <c r="E34" i="4"/>
  <c r="E33" i="4"/>
  <c r="E32" i="4"/>
  <c r="E31" i="4"/>
  <c r="E30" i="4"/>
  <c r="E29" i="4"/>
  <c r="E4" i="4"/>
  <c r="C45" i="4"/>
  <c r="AF1010" i="3"/>
  <c r="AC873" i="3"/>
  <c r="O703" i="3"/>
  <c r="AO629" i="3"/>
  <c r="Q629" i="3"/>
  <c r="W866" i="3" l="1"/>
  <c r="W859" i="3"/>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7" i="9" s="1"/>
  <c r="AP100" i="6"/>
  <c r="AJ124" i="6" s="1"/>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s="1"/>
  <c r="AY729" i="3"/>
  <c r="BE729" i="3"/>
  <c r="BF729" i="3"/>
  <c r="BG729" i="3"/>
  <c r="AY730" i="3"/>
  <c r="BE730" i="3"/>
  <c r="BF730" i="3"/>
  <c r="BG730" i="3"/>
  <c r="AY731" i="3"/>
  <c r="BE731" i="3"/>
  <c r="BF731" i="3"/>
  <c r="BG731" i="3" s="1"/>
  <c r="AY732" i="3"/>
  <c r="BE732" i="3"/>
  <c r="BF732" i="3"/>
  <c r="BG732" i="3"/>
  <c r="AY733" i="3"/>
  <c r="BE733" i="3"/>
  <c r="BF733" i="3"/>
  <c r="BG733" i="3" s="1"/>
  <c r="AY734" i="3"/>
  <c r="BE734" i="3"/>
  <c r="BF734" i="3"/>
  <c r="BG734" i="3"/>
  <c r="AY735" i="3"/>
  <c r="BE735" i="3"/>
  <c r="BF735" i="3"/>
  <c r="BG735" i="3"/>
  <c r="AY736" i="3"/>
  <c r="BE736" i="3"/>
  <c r="BF736" i="3"/>
  <c r="BG736" i="3" s="1"/>
  <c r="AY703" i="3"/>
  <c r="AY738" i="3" s="1"/>
  <c r="AV727" i="3"/>
  <c r="AV728" i="3"/>
  <c r="AV729" i="3"/>
  <c r="AV730" i="3"/>
  <c r="AV731" i="3"/>
  <c r="AV732" i="3"/>
  <c r="AV733" i="3"/>
  <c r="AV734" i="3"/>
  <c r="AV735" i="3"/>
  <c r="AV736" i="3"/>
  <c r="AM703"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34" i="3" s="1"/>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34" i="3" s="1"/>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34" i="3" s="1"/>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s="1"/>
  <c r="BE607" i="3"/>
  <c r="BG607" i="3" s="1"/>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E704" i="3"/>
  <c r="BF704" i="3" s="1"/>
  <c r="BE705" i="3"/>
  <c r="BE706" i="3"/>
  <c r="BE707" i="3"/>
  <c r="BE708" i="3"/>
  <c r="BE709" i="3"/>
  <c r="BE710" i="3"/>
  <c r="BE711" i="3"/>
  <c r="BF711" i="3"/>
  <c r="BG711" i="3"/>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s="1"/>
  <c r="BE737" i="3"/>
  <c r="BF737" i="3"/>
  <c r="BG737" i="3" s="1"/>
  <c r="C65" i="25"/>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Y40" i="9"/>
  <c r="Y43" i="9" s="1"/>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7" i="3"/>
  <c r="BN638" i="3"/>
  <c r="BN639" i="3"/>
  <c r="BN640" i="3"/>
  <c r="BN643" i="3"/>
  <c r="BN644" i="3"/>
  <c r="BN645" i="3"/>
  <c r="BN646" i="3"/>
  <c r="BN647" i="3"/>
  <c r="BN648" i="3"/>
  <c r="BN649" i="3"/>
  <c r="BN650" i="3"/>
  <c r="BN651" i="3"/>
  <c r="BN652" i="3"/>
  <c r="BS599" i="3"/>
  <c r="BS634" i="3"/>
  <c r="BS637" i="3"/>
  <c r="BS641" i="3" s="1"/>
  <c r="BS659" i="3" s="1"/>
  <c r="AB970" i="3" s="1"/>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H599" i="3"/>
  <c r="CH634" i="3"/>
  <c r="CL635" i="3" s="1"/>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AC871" i="3" s="1"/>
  <c r="G738"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35" i="3" s="1"/>
  <c r="T610" i="6" s="1"/>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DC635" i="3" s="1"/>
  <c r="T611" i="6" s="1"/>
  <c r="AZ574" i="6" s="1"/>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s="1"/>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E86" i="15" s="1"/>
  <c r="D86" i="15"/>
  <c r="B87" i="15"/>
  <c r="C87" i="15"/>
  <c r="E87" i="15" s="1"/>
  <c r="D87" i="15"/>
  <c r="B88" i="15"/>
  <c r="C88" i="15"/>
  <c r="D88" i="15"/>
  <c r="B89" i="15"/>
  <c r="E89" i="15" s="1"/>
  <c r="C89" i="15"/>
  <c r="D89" i="15"/>
  <c r="B90" i="15"/>
  <c r="C90" i="15"/>
  <c r="D90" i="15"/>
  <c r="B91" i="15"/>
  <c r="C91" i="15"/>
  <c r="D91" i="15"/>
  <c r="B92" i="15"/>
  <c r="C92" i="15"/>
  <c r="E92" i="15"/>
  <c r="D92" i="15"/>
  <c r="B93" i="15"/>
  <c r="C93" i="15"/>
  <c r="E93" i="15" s="1"/>
  <c r="D93" i="15"/>
  <c r="B94" i="15"/>
  <c r="E94" i="15" s="1"/>
  <c r="C94" i="15"/>
  <c r="D94" i="15"/>
  <c r="B95" i="15"/>
  <c r="C95" i="15"/>
  <c r="E95" i="15"/>
  <c r="D95" i="15"/>
  <c r="D83" i="15"/>
  <c r="C83" i="15"/>
  <c r="B83" i="15"/>
  <c r="B80" i="15"/>
  <c r="C80" i="15"/>
  <c r="E80" i="15" s="1"/>
  <c r="D80" i="15"/>
  <c r="D79" i="15"/>
  <c r="C79" i="15"/>
  <c r="B79" i="15"/>
  <c r="B73" i="15"/>
  <c r="C73" i="15"/>
  <c r="D73" i="15"/>
  <c r="B74" i="15"/>
  <c r="E74" i="15"/>
  <c r="C74" i="15"/>
  <c r="D74" i="15"/>
  <c r="B75" i="15"/>
  <c r="C75" i="15"/>
  <c r="E75" i="15" s="1"/>
  <c r="D75" i="15"/>
  <c r="B76" i="15"/>
  <c r="C76" i="15"/>
  <c r="E76" i="15" s="1"/>
  <c r="D76" i="15"/>
  <c r="D72" i="15"/>
  <c r="C72" i="15"/>
  <c r="B72" i="15"/>
  <c r="E72" i="15" s="1"/>
  <c r="B66" i="15"/>
  <c r="C66" i="15"/>
  <c r="E66" i="15"/>
  <c r="D66" i="15"/>
  <c r="B67" i="15"/>
  <c r="C67" i="15"/>
  <c r="D67" i="15"/>
  <c r="B68" i="15"/>
  <c r="C68" i="15"/>
  <c r="E68" i="15"/>
  <c r="D68" i="15"/>
  <c r="B69" i="15"/>
  <c r="C69" i="15"/>
  <c r="E69" i="15" s="1"/>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E46" i="15" s="1"/>
  <c r="B44" i="15"/>
  <c r="C44" i="15"/>
  <c r="E44" i="15" s="1"/>
  <c r="D44" i="15"/>
  <c r="B42" i="15"/>
  <c r="C42" i="15"/>
  <c r="D42" i="15"/>
  <c r="D41" i="15"/>
  <c r="C41" i="15"/>
  <c r="B41" i="15"/>
  <c r="B38" i="15"/>
  <c r="C38" i="15"/>
  <c r="E38" i="15"/>
  <c r="D38" i="15"/>
  <c r="B31" i="15"/>
  <c r="C31" i="15"/>
  <c r="E31" i="15" s="1"/>
  <c r="D31" i="15"/>
  <c r="B32" i="15"/>
  <c r="C32" i="15"/>
  <c r="E32" i="15" s="1"/>
  <c r="D32" i="15"/>
  <c r="B33" i="15"/>
  <c r="C33" i="15"/>
  <c r="E33" i="15" s="1"/>
  <c r="D33" i="15"/>
  <c r="B34" i="15"/>
  <c r="C34" i="15"/>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3" i="15"/>
  <c r="E56" i="15"/>
  <c r="E73" i="15"/>
  <c r="E22" i="15"/>
  <c r="E91" i="15"/>
  <c r="E67" i="15"/>
  <c r="E79" i="15"/>
  <c r="E90" i="15"/>
  <c r="E16" i="15"/>
  <c r="E7" i="15"/>
  <c r="E51" i="15"/>
  <c r="E61" i="15"/>
  <c r="E88" i="15"/>
  <c r="E84" i="15"/>
  <c r="E14" i="15"/>
  <c r="E21" i="15"/>
  <c r="B9" i="15"/>
  <c r="E28" i="15"/>
  <c r="E8" i="15"/>
  <c r="E52" i="15"/>
  <c r="E48" i="15"/>
  <c r="E19" i="15"/>
  <c r="E42" i="15"/>
  <c r="E47" i="15"/>
  <c r="E50" i="15"/>
  <c r="C12" i="15"/>
  <c r="B12" i="15"/>
  <c r="B13" i="15"/>
  <c r="E6" i="15"/>
  <c r="E23" i="15"/>
  <c r="E41" i="15"/>
  <c r="C9" i="15"/>
  <c r="C13" i="15" s="1"/>
  <c r="E13" i="15" s="1"/>
  <c r="E11" i="15"/>
  <c r="E5" i="15"/>
  <c r="E35" i="15"/>
  <c r="E65" i="15"/>
  <c r="E15" i="15"/>
  <c r="E10" i="15"/>
  <c r="E12"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4" s="1"/>
  <c r="B12" i="4" s="1"/>
  <c r="C11" i="4"/>
  <c r="C26" i="4"/>
  <c r="C38" i="4"/>
  <c r="C39" i="15" s="1"/>
  <c r="C42" i="4"/>
  <c r="B41" i="18" s="1"/>
  <c r="C53" i="4"/>
  <c r="B53" i="4" s="1"/>
  <c r="C61" i="4"/>
  <c r="C62" i="15" s="1"/>
  <c r="C69" i="4"/>
  <c r="C76" i="4"/>
  <c r="B76" i="4" s="1"/>
  <c r="C80" i="4"/>
  <c r="C95" i="4"/>
  <c r="B94" i="18" s="1"/>
  <c r="C103" i="4"/>
  <c r="B103" i="4" s="1"/>
  <c r="C66" i="25"/>
  <c r="G67" i="25" s="1"/>
  <c r="Y20" i="5"/>
  <c r="AI20" i="5"/>
  <c r="S26" i="4"/>
  <c r="S38" i="4"/>
  <c r="E37" i="18" s="1"/>
  <c r="S42" i="4"/>
  <c r="S53" i="4"/>
  <c r="E52" i="18" s="1"/>
  <c r="S69" i="4"/>
  <c r="S80" i="4"/>
  <c r="E79" i="18"/>
  <c r="F25" i="18"/>
  <c r="F37" i="18"/>
  <c r="F61" i="18" s="1"/>
  <c r="F41" i="18"/>
  <c r="F52"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8" i="6" s="1"/>
  <c r="AQ368" i="6" s="1"/>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F84" i="18" s="1"/>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C97" i="18" s="1"/>
  <c r="C102" i="18" s="1"/>
  <c r="B93" i="18"/>
  <c r="B92" i="18"/>
  <c r="B91" i="18"/>
  <c r="B90" i="18"/>
  <c r="B89" i="18"/>
  <c r="B88" i="18"/>
  <c r="B87" i="18"/>
  <c r="B86" i="18"/>
  <c r="B85" i="18"/>
  <c r="B84" i="18"/>
  <c r="C84" i="18" s="1"/>
  <c r="B83" i="18"/>
  <c r="C83" i="18" s="1"/>
  <c r="B82" i="18"/>
  <c r="B81" i="18"/>
  <c r="C81" i="18" s="1"/>
  <c r="B77" i="18"/>
  <c r="B74" i="18"/>
  <c r="B73" i="18"/>
  <c r="C73"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D94" i="18"/>
  <c r="D75" i="18"/>
  <c r="C75" i="18"/>
  <c r="D68" i="18"/>
  <c r="C68" i="18"/>
  <c r="D60" i="18"/>
  <c r="C60" i="18"/>
  <c r="D52" i="18"/>
  <c r="C52" i="18"/>
  <c r="D41" i="18"/>
  <c r="C41" i="18"/>
  <c r="C61" i="18" s="1"/>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8" i="4"/>
  <c r="R94" i="4"/>
  <c r="R82" i="4"/>
  <c r="R84" i="4"/>
  <c r="S84" i="4" s="1"/>
  <c r="E83" i="18" s="1"/>
  <c r="F83" i="18" s="1"/>
  <c r="R85" i="4"/>
  <c r="S85" i="4" s="1"/>
  <c r="R86" i="4"/>
  <c r="R87" i="4"/>
  <c r="R88" i="4"/>
  <c r="R89" i="4"/>
  <c r="R90" i="4"/>
  <c r="R91" i="4"/>
  <c r="R92" i="4"/>
  <c r="R93" i="4"/>
  <c r="R60" i="4"/>
  <c r="R59" i="4"/>
  <c r="R58" i="4"/>
  <c r="R57" i="4"/>
  <c r="R56" i="4"/>
  <c r="R61" i="4" s="1"/>
  <c r="R52" i="4"/>
  <c r="R51" i="4"/>
  <c r="R50" i="4"/>
  <c r="R49" i="4"/>
  <c r="R48" i="4"/>
  <c r="R47" i="4"/>
  <c r="R46" i="4"/>
  <c r="R45" i="4"/>
  <c r="R43" i="4"/>
  <c r="R41" i="4"/>
  <c r="R40" i="4"/>
  <c r="R37" i="4"/>
  <c r="R35" i="4"/>
  <c r="R34" i="4"/>
  <c r="R33" i="4"/>
  <c r="R32" i="4"/>
  <c r="R30" i="4"/>
  <c r="R38" i="4"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B52" i="18"/>
  <c r="N12" i="4"/>
  <c r="E25" i="18"/>
  <c r="B26" i="4"/>
  <c r="B80" i="4"/>
  <c r="D12" i="4"/>
  <c r="G12" i="4"/>
  <c r="F12" i="4"/>
  <c r="B27" i="15"/>
  <c r="D27" i="15"/>
  <c r="C27" i="15"/>
  <c r="C81" i="15"/>
  <c r="E81" i="15" s="1"/>
  <c r="B81" i="15"/>
  <c r="D81" i="15"/>
  <c r="B11" i="4"/>
  <c r="C77" i="15"/>
  <c r="T62" i="4"/>
  <c r="B68" i="18"/>
  <c r="B70" i="15"/>
  <c r="C70" i="15"/>
  <c r="E70" i="15" s="1"/>
  <c r="D70" i="15"/>
  <c r="B11" i="18"/>
  <c r="G52" i="25"/>
  <c r="G53" i="25" s="1"/>
  <c r="AB47" i="26"/>
  <c r="I61" i="18"/>
  <c r="I95" i="18"/>
  <c r="I103" i="18"/>
  <c r="I105" i="18"/>
  <c r="J61" i="18"/>
  <c r="J95" i="18"/>
  <c r="J103" i="18"/>
  <c r="J105" i="18"/>
  <c r="K12" i="4"/>
  <c r="J12" i="4"/>
  <c r="R11" i="4"/>
  <c r="R8" i="4"/>
  <c r="R12" i="4" s="1"/>
  <c r="D12" i="15"/>
  <c r="G62" i="4"/>
  <c r="G96" i="4"/>
  <c r="G104" i="4" s="1"/>
  <c r="D9" i="15"/>
  <c r="C12" i="18"/>
  <c r="E12" i="4"/>
  <c r="M62" i="4"/>
  <c r="M96" i="4"/>
  <c r="M104" i="4"/>
  <c r="J62" i="4"/>
  <c r="J96" i="4"/>
  <c r="R53" i="4"/>
  <c r="F62" i="4"/>
  <c r="O62" i="4"/>
  <c r="O96" i="4"/>
  <c r="O104" i="4"/>
  <c r="N62" i="4"/>
  <c r="N96" i="4"/>
  <c r="N104" i="4"/>
  <c r="D62" i="4"/>
  <c r="D96" i="4"/>
  <c r="D104" i="4"/>
  <c r="R26" i="4"/>
  <c r="L62" i="4"/>
  <c r="L96" i="4"/>
  <c r="L104" i="4"/>
  <c r="H12" i="4"/>
  <c r="H11" i="18"/>
  <c r="Q62" i="4"/>
  <c r="Q96" i="4"/>
  <c r="Q104" i="4"/>
  <c r="K62" i="4"/>
  <c r="K96" i="4"/>
  <c r="K104" i="4"/>
  <c r="I62" i="4"/>
  <c r="I96" i="4"/>
  <c r="I104" i="4" s="1"/>
  <c r="R42" i="4"/>
  <c r="T96" i="4"/>
  <c r="H61" i="18"/>
  <c r="M12" i="4"/>
  <c r="D12" i="18"/>
  <c r="P62" i="4"/>
  <c r="P96" i="4"/>
  <c r="P104" i="4"/>
  <c r="B69" i="4"/>
  <c r="G61" i="18"/>
  <c r="G95" i="18"/>
  <c r="G103" i="18"/>
  <c r="G105" i="18"/>
  <c r="D61" i="18"/>
  <c r="D95" i="18"/>
  <c r="D103" i="18"/>
  <c r="AC28" i="9"/>
  <c r="D13" i="15"/>
  <c r="H95" i="18"/>
  <c r="T104" i="4"/>
  <c r="H103" i="18"/>
  <c r="T106" i="4"/>
  <c r="H105" i="18"/>
  <c r="AD11" i="5"/>
  <c r="AD23" i="5"/>
  <c r="AD26" i="5"/>
  <c r="AI11" i="27"/>
  <c r="AI11" i="26"/>
  <c r="AD11" i="27"/>
  <c r="AD11" i="26"/>
  <c r="T24" i="27"/>
  <c r="T24" i="26"/>
  <c r="C785" i="3"/>
  <c r="AO643" i="3"/>
  <c r="AM558" i="3" s="1"/>
  <c r="AM569" i="3" s="1"/>
  <c r="AZ197" i="6"/>
  <c r="C742" i="3"/>
  <c r="R971" i="3"/>
  <c r="T7" i="5"/>
  <c r="O29" i="9"/>
  <c r="AP381" i="6"/>
  <c r="AQ381" i="6"/>
  <c r="AO655" i="6"/>
  <c r="AK688" i="6" s="1"/>
  <c r="T710" i="6" s="1"/>
  <c r="AF710" i="6" s="1"/>
  <c r="BN641" i="3"/>
  <c r="AI22" i="26"/>
  <c r="AI23" i="26" s="1"/>
  <c r="AI26" i="26" s="1"/>
  <c r="CH641" i="3"/>
  <c r="CH659" i="3" s="1"/>
  <c r="E20" i="9"/>
  <c r="G20" i="9" s="1"/>
  <c r="I20" i="9" s="1"/>
  <c r="K20" i="9" s="1"/>
  <c r="M20" i="9" s="1"/>
  <c r="O20" i="9" s="1"/>
  <c r="Q20" i="9" s="1"/>
  <c r="S20" i="9" s="1"/>
  <c r="U20" i="9" s="1"/>
  <c r="W20" i="9" s="1"/>
  <c r="Y20" i="9" s="1"/>
  <c r="AA20" i="9" s="1"/>
  <c r="AC20" i="9" s="1"/>
  <c r="AE20" i="9" s="1"/>
  <c r="AG20" i="9" s="1"/>
  <c r="BX641" i="3"/>
  <c r="Q581" i="6"/>
  <c r="W581" i="6" s="1"/>
  <c r="AC581" i="6" s="1"/>
  <c r="G30" i="9"/>
  <c r="I30" i="9" s="1"/>
  <c r="K30" i="9" s="1"/>
  <c r="M30" i="9" s="1"/>
  <c r="O30" i="9" s="1"/>
  <c r="Q30" i="9" s="1"/>
  <c r="S30" i="9" s="1"/>
  <c r="U30" i="9" s="1"/>
  <c r="W30" i="9" s="1"/>
  <c r="Y30" i="9" s="1"/>
  <c r="AA30" i="9" s="1"/>
  <c r="AC30" i="9" s="1"/>
  <c r="AE30" i="9" s="1"/>
  <c r="AG30" i="9" s="1"/>
  <c r="AG446" i="3"/>
  <c r="AI27" i="26" s="1"/>
  <c r="Y20" i="27"/>
  <c r="Y22" i="27"/>
  <c r="AD20" i="27"/>
  <c r="AD22" i="27"/>
  <c r="AD23" i="27"/>
  <c r="AD26" i="27"/>
  <c r="AC784" i="3"/>
  <c r="BS653" i="3"/>
  <c r="BW654" i="3"/>
  <c r="T738" i="3"/>
  <c r="C40" i="10"/>
  <c r="CC653" i="3"/>
  <c r="CG654" i="3"/>
  <c r="CM653" i="3"/>
  <c r="CQ654" i="3"/>
  <c r="CC641" i="3"/>
  <c r="BN653" i="3"/>
  <c r="BR654" i="3"/>
  <c r="R973" i="3"/>
  <c r="R970" i="3"/>
  <c r="CH653" i="3"/>
  <c r="CL654" i="3"/>
  <c r="BX653" i="3"/>
  <c r="CB654" i="3"/>
  <c r="R972" i="3"/>
  <c r="Q591" i="6"/>
  <c r="W591" i="6" s="1"/>
  <c r="O612" i="6"/>
  <c r="AO612" i="6" s="1"/>
  <c r="AK540" i="6"/>
  <c r="Y28" i="9"/>
  <c r="S40" i="9"/>
  <c r="S43" i="9" s="1"/>
  <c r="K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D100" i="25"/>
  <c r="D102" i="25"/>
  <c r="D104" i="25"/>
  <c r="D110" i="25"/>
  <c r="G38" i="25"/>
  <c r="T20" i="27"/>
  <c r="T22" i="27"/>
  <c r="T20" i="26"/>
  <c r="T22" i="26"/>
  <c r="Y20" i="26"/>
  <c r="Y22" i="26"/>
  <c r="AD20" i="26"/>
  <c r="AD22" i="26"/>
  <c r="AD23" i="26"/>
  <c r="AD26" i="26"/>
  <c r="AD7" i="5"/>
  <c r="AI20" i="27"/>
  <c r="AI22" i="27"/>
  <c r="AI23" i="27"/>
  <c r="AI26" i="27"/>
  <c r="AD67" i="5"/>
  <c r="B104" i="15"/>
  <c r="E27"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CQ655" i="3"/>
  <c r="AD27" i="27"/>
  <c r="AD28" i="27" s="1"/>
  <c r="T27" i="27"/>
  <c r="Y27" i="26"/>
  <c r="AI27" i="5"/>
  <c r="T27" i="5"/>
  <c r="BW635" i="3"/>
  <c r="L27" i="28"/>
  <c r="V27" i="28" s="1"/>
  <c r="AJ206" i="6"/>
  <c r="AJ999" i="3"/>
  <c r="S95" i="4" l="1"/>
  <c r="E94" i="18" s="1"/>
  <c r="F94" i="18"/>
  <c r="F95" i="18" s="1"/>
  <c r="C94" i="18"/>
  <c r="C95" i="18" s="1"/>
  <c r="C103" i="18" s="1"/>
  <c r="R103" i="4"/>
  <c r="S98" i="4"/>
  <c r="U69" i="25"/>
  <c r="AI28" i="26"/>
  <c r="AD63" i="26" s="1"/>
  <c r="E83" i="15"/>
  <c r="R76" i="4"/>
  <c r="R69" i="4"/>
  <c r="F96" i="4"/>
  <c r="F104" i="4" s="1"/>
  <c r="R95" i="4"/>
  <c r="E62" i="4"/>
  <c r="E96" i="4" s="1"/>
  <c r="E104" i="4" s="1"/>
  <c r="C104" i="15"/>
  <c r="E104" i="15" s="1"/>
  <c r="D104" i="15"/>
  <c r="C96" i="15"/>
  <c r="B96" i="15"/>
  <c r="B95" i="4"/>
  <c r="D96" i="15"/>
  <c r="D77" i="15"/>
  <c r="B75" i="18"/>
  <c r="B77" i="15"/>
  <c r="E77" i="15" s="1"/>
  <c r="B60" i="18"/>
  <c r="E62" i="15"/>
  <c r="B61" i="4"/>
  <c r="B62" i="15"/>
  <c r="D62" i="15"/>
  <c r="S62" i="4"/>
  <c r="D54" i="15"/>
  <c r="C54" i="15"/>
  <c r="B54" i="15"/>
  <c r="C43" i="15"/>
  <c r="E43" i="15" s="1"/>
  <c r="B43" i="15"/>
  <c r="D43" i="15"/>
  <c r="B42" i="4"/>
  <c r="B39" i="15"/>
  <c r="E39" i="15" s="1"/>
  <c r="D39" i="15"/>
  <c r="B37" i="18"/>
  <c r="B38" i="4"/>
  <c r="E9" i="15"/>
  <c r="B8" i="18"/>
  <c r="R62" i="4"/>
  <c r="C62" i="4"/>
  <c r="C12" i="4"/>
  <c r="B12" i="18" s="1"/>
  <c r="M28" i="9"/>
  <c r="U28" i="9"/>
  <c r="I28" i="9"/>
  <c r="AA28" i="9"/>
  <c r="AG28" i="9"/>
  <c r="AC870" i="3"/>
  <c r="AC872" i="3" s="1"/>
  <c r="E15" i="9"/>
  <c r="G15" i="9" s="1"/>
  <c r="Y788" i="3"/>
  <c r="E4" i="9" s="1"/>
  <c r="G4" i="9" s="1"/>
  <c r="CS641" i="3"/>
  <c r="BG704" i="3"/>
  <c r="DM635" i="3"/>
  <c r="T609" i="6" s="1"/>
  <c r="CS635" i="3"/>
  <c r="T613" i="6" s="1"/>
  <c r="CX635" i="3"/>
  <c r="T612" i="6" s="1"/>
  <c r="AP548" i="6" s="1"/>
  <c r="AX546" i="6" s="1"/>
  <c r="BK635" i="3"/>
  <c r="DR635" i="3"/>
  <c r="T608" i="6" s="1"/>
  <c r="AZ571" i="6" s="1"/>
  <c r="BG635" i="3"/>
  <c r="AP533" i="6"/>
  <c r="BL583" i="6" s="1"/>
  <c r="AZ573" i="6"/>
  <c r="AZ576" i="6"/>
  <c r="CC530" i="6"/>
  <c r="CC531" i="6" s="1"/>
  <c r="BY529" i="6"/>
  <c r="BY531" i="6" s="1"/>
  <c r="Y612" i="6"/>
  <c r="BE575" i="6" s="1"/>
  <c r="AP585" i="6" s="1"/>
  <c r="AZ575" i="6"/>
  <c r="L26" i="28"/>
  <c r="O613" i="6"/>
  <c r="AO613" i="6" s="1"/>
  <c r="BN659" i="3"/>
  <c r="AB969" i="3" s="1"/>
  <c r="AB974" i="3" s="1"/>
  <c r="BR635" i="3"/>
  <c r="CQ636" i="3" s="1"/>
  <c r="AZ714" i="3"/>
  <c r="BA714" i="3" s="1"/>
  <c r="AZ734" i="3"/>
  <c r="BA734" i="3" s="1"/>
  <c r="AZ725" i="3"/>
  <c r="BA725" i="3" s="1"/>
  <c r="AZ722" i="3"/>
  <c r="BA722" i="3" s="1"/>
  <c r="AZ705" i="3"/>
  <c r="BA705" i="3" s="1"/>
  <c r="AZ733" i="3"/>
  <c r="BA733" i="3" s="1"/>
  <c r="AZ711" i="3"/>
  <c r="BA711" i="3" s="1"/>
  <c r="AZ716" i="3"/>
  <c r="BA716" i="3" s="1"/>
  <c r="AZ728" i="3"/>
  <c r="BA728" i="3" s="1"/>
  <c r="AZ717" i="3"/>
  <c r="BA717" i="3" s="1"/>
  <c r="AZ732" i="3"/>
  <c r="BA732" i="3" s="1"/>
  <c r="AZ736" i="3"/>
  <c r="BA736" i="3" s="1"/>
  <c r="AZ707" i="3"/>
  <c r="BA707" i="3" s="1"/>
  <c r="AZ726" i="3"/>
  <c r="BA726" i="3" s="1"/>
  <c r="AZ727" i="3"/>
  <c r="BA727" i="3" s="1"/>
  <c r="AZ715" i="3"/>
  <c r="BA715" i="3" s="1"/>
  <c r="AZ704" i="3"/>
  <c r="BA704" i="3" s="1"/>
  <c r="AZ713" i="3"/>
  <c r="BA713" i="3" s="1"/>
  <c r="AZ731" i="3"/>
  <c r="BA731" i="3" s="1"/>
  <c r="AZ723" i="3"/>
  <c r="BA723" i="3" s="1"/>
  <c r="AZ712" i="3"/>
  <c r="BA712" i="3" s="1"/>
  <c r="AZ721" i="3"/>
  <c r="BA721" i="3" s="1"/>
  <c r="AZ718" i="3"/>
  <c r="BA718" i="3" s="1"/>
  <c r="AZ735" i="3"/>
  <c r="BA735" i="3" s="1"/>
  <c r="AZ708" i="3"/>
  <c r="BA708" i="3" s="1"/>
  <c r="AZ720" i="3"/>
  <c r="BA720" i="3" s="1"/>
  <c r="AZ724" i="3"/>
  <c r="BA724" i="3" s="1"/>
  <c r="AZ729" i="3"/>
  <c r="BA729" i="3" s="1"/>
  <c r="AZ709" i="3"/>
  <c r="BA709" i="3" s="1"/>
  <c r="AZ703" i="3"/>
  <c r="AZ706" i="3"/>
  <c r="BA706" i="3" s="1"/>
  <c r="AZ730" i="3"/>
  <c r="BA730" i="3" s="1"/>
  <c r="AZ719" i="3"/>
  <c r="BA719" i="3" s="1"/>
  <c r="AZ710" i="3"/>
  <c r="BA710" i="3" s="1"/>
  <c r="AZ737" i="3"/>
  <c r="BA737" i="3" s="1"/>
  <c r="BF705" i="3"/>
  <c r="BG705" i="3" s="1"/>
  <c r="O610" i="6"/>
  <c r="CC659" i="3"/>
  <c r="AB972" i="3" s="1"/>
  <c r="AJ972" i="3" s="1"/>
  <c r="AZ198" i="6"/>
  <c r="CG635" i="3"/>
  <c r="L29" i="28"/>
  <c r="V29" i="28" s="1"/>
  <c r="AP537" i="6"/>
  <c r="BN587" i="6" s="1"/>
  <c r="BN588" i="6" s="1"/>
  <c r="Y609" i="6"/>
  <c r="CH546" i="6" s="1"/>
  <c r="BE545" i="6" s="1"/>
  <c r="BE550" i="6" s="1"/>
  <c r="BF708" i="3"/>
  <c r="BG708" i="3" s="1"/>
  <c r="BF709" i="3"/>
  <c r="BG709" i="3" s="1"/>
  <c r="BF706" i="3"/>
  <c r="BG706" i="3" s="1"/>
  <c r="BF710" i="3"/>
  <c r="BG710" i="3" s="1"/>
  <c r="BF707" i="3"/>
  <c r="BG707" i="3" s="1"/>
  <c r="O611" i="6"/>
  <c r="BX659" i="3"/>
  <c r="AB971" i="3" s="1"/>
  <c r="AJ971" i="3" s="1"/>
  <c r="CB635" i="3"/>
  <c r="L28" i="28"/>
  <c r="V28" i="28" s="1"/>
  <c r="AZ201" i="6"/>
  <c r="CM659" i="3"/>
  <c r="AB973" i="3" s="1"/>
  <c r="CQ635" i="3"/>
  <c r="O608" i="6"/>
  <c r="O614" i="6" s="1"/>
  <c r="AR606" i="6" s="1"/>
  <c r="Y787" i="3"/>
  <c r="AU575" i="6"/>
  <c r="AJ970" i="3"/>
  <c r="AJ973" i="3"/>
  <c r="L30" i="28"/>
  <c r="V30" i="28" s="1"/>
  <c r="O609" i="6"/>
  <c r="BF565" i="6" s="1"/>
  <c r="BK568" i="6" s="1"/>
  <c r="AU546" i="6" s="1"/>
  <c r="AZ199" i="6"/>
  <c r="BF703" i="3"/>
  <c r="AS357" i="6"/>
  <c r="AS355" i="6"/>
  <c r="AK283" i="6"/>
  <c r="T703" i="6" s="1"/>
  <c r="AO694" i="6" s="1"/>
  <c r="AD27" i="5"/>
  <c r="AD28" i="5" s="1"/>
  <c r="Y27" i="5"/>
  <c r="AI27" i="27"/>
  <c r="AI28" i="27" s="1"/>
  <c r="AD63" i="27" s="1"/>
  <c r="Y27" i="27"/>
  <c r="Q585" i="6"/>
  <c r="W585" i="6" s="1"/>
  <c r="AC585" i="6" s="1"/>
  <c r="C9" i="9"/>
  <c r="E9" i="9" s="1"/>
  <c r="Q583" i="6"/>
  <c r="W583" i="6" s="1"/>
  <c r="AC583" i="6" s="1"/>
  <c r="T27" i="26"/>
  <c r="AD27" i="26"/>
  <c r="AD28" i="26" s="1"/>
  <c r="Q589" i="6"/>
  <c r="W589" i="6" s="1"/>
  <c r="Q588" i="6"/>
  <c r="W588" i="6" s="1"/>
  <c r="AC588" i="6" s="1"/>
  <c r="Y112" i="6"/>
  <c r="C67" i="25"/>
  <c r="T698" i="6"/>
  <c r="AF698" i="6" s="1"/>
  <c r="AZ260" i="3"/>
  <c r="BO245" i="3" s="1"/>
  <c r="T269" i="3" s="1"/>
  <c r="C5" i="9"/>
  <c r="E5" i="9" s="1"/>
  <c r="AF997" i="3"/>
  <c r="G9" i="9"/>
  <c r="I8" i="9"/>
  <c r="K8" i="9" s="1"/>
  <c r="M8" i="9" s="1"/>
  <c r="O8"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CH547" i="6" s="1"/>
  <c r="BI546" i="6" s="1"/>
  <c r="BI550" i="6" s="1"/>
  <c r="AP536" i="6"/>
  <c r="BJ586" i="6" s="1"/>
  <c r="BJ588" i="6" s="1"/>
  <c r="O40" i="9"/>
  <c r="O43" i="9" s="1"/>
  <c r="AG29" i="9"/>
  <c r="BO526" i="6"/>
  <c r="BO531" i="6" s="1"/>
  <c r="BE572" i="6"/>
  <c r="AP582" i="6" s="1"/>
  <c r="BM526" i="6"/>
  <c r="BM531" i="6" s="1"/>
  <c r="BQ527" i="6"/>
  <c r="BQ531" i="6" s="1"/>
  <c r="G40" i="9"/>
  <c r="G43" i="9" s="1"/>
  <c r="I29" i="9"/>
  <c r="G28" i="9"/>
  <c r="Q28" i="9"/>
  <c r="Q590" i="6"/>
  <c r="W590" i="6" s="1"/>
  <c r="Q582" i="6"/>
  <c r="W582" i="6" s="1"/>
  <c r="AC582" i="6" s="1"/>
  <c r="M40" i="9"/>
  <c r="M43" i="9" s="1"/>
  <c r="S29" i="9"/>
  <c r="Y611" i="6"/>
  <c r="I40" i="9"/>
  <c r="I43" i="9" s="1"/>
  <c r="BD524" i="6"/>
  <c r="Q586" i="6"/>
  <c r="W586" i="6" s="1"/>
  <c r="AC586" i="6" s="1"/>
  <c r="I4" i="9"/>
  <c r="I15" i="9"/>
  <c r="G22" i="9"/>
  <c r="F40" i="10"/>
  <c r="I9" i="9"/>
  <c r="I40" i="10"/>
  <c r="Z796" i="3" s="1"/>
  <c r="BU528" i="6"/>
  <c r="BU531" i="6" s="1"/>
  <c r="E22" i="9"/>
  <c r="E35" i="9" s="1"/>
  <c r="AP535" i="6"/>
  <c r="BK565" i="6"/>
  <c r="AD63" i="5"/>
  <c r="AI7" i="5"/>
  <c r="AI11" i="5" s="1"/>
  <c r="AI23" i="5" s="1"/>
  <c r="AI26" i="5" s="1"/>
  <c r="AI28" i="5" s="1"/>
  <c r="T614" i="6"/>
  <c r="AF1000" i="3"/>
  <c r="E97" i="18" l="1"/>
  <c r="F97" i="18" s="1"/>
  <c r="F102" i="18" s="1"/>
  <c r="F103" i="18" s="1"/>
  <c r="F105" i="18" s="1"/>
  <c r="S103" i="4"/>
  <c r="E102" i="18" s="1"/>
  <c r="AC592" i="6"/>
  <c r="T707" i="6" s="1"/>
  <c r="AO698" i="6" s="1"/>
  <c r="R96" i="4"/>
  <c r="R104" i="4" s="1"/>
  <c r="E96" i="15"/>
  <c r="E54" i="15"/>
  <c r="E61" i="18"/>
  <c r="S96" i="4"/>
  <c r="B63" i="15"/>
  <c r="B62" i="4"/>
  <c r="D63" i="15"/>
  <c r="C96" i="4"/>
  <c r="C63" i="15"/>
  <c r="B61" i="18"/>
  <c r="M9" i="9"/>
  <c r="BH583" i="6"/>
  <c r="BD583" i="6"/>
  <c r="BD588" i="6" s="1"/>
  <c r="BB589" i="6" s="1"/>
  <c r="AX583" i="6"/>
  <c r="AX588" i="6" s="1"/>
  <c r="AX589" i="6" s="1"/>
  <c r="BP583" i="6"/>
  <c r="BG703" i="3"/>
  <c r="BG738" i="3" s="1"/>
  <c r="AM738" i="3" s="1"/>
  <c r="BF738" i="3"/>
  <c r="CA529" i="6"/>
  <c r="CA531" i="6" s="1"/>
  <c r="BY532" i="6" s="1"/>
  <c r="CH549" i="6"/>
  <c r="AO610" i="6"/>
  <c r="AU573" i="6"/>
  <c r="Y613" i="6"/>
  <c r="AU533" i="6" s="1"/>
  <c r="P422" i="3"/>
  <c r="O741" i="3"/>
  <c r="CQ657" i="3"/>
  <c r="U370" i="6" s="1"/>
  <c r="AU576" i="6"/>
  <c r="V26" i="28"/>
  <c r="V31" i="28" s="1"/>
  <c r="L31" i="28"/>
  <c r="AU572" i="6"/>
  <c r="AY541" i="6"/>
  <c r="AS542" i="6" s="1"/>
  <c r="BM532" i="6"/>
  <c r="AU549" i="6"/>
  <c r="BH584" i="6"/>
  <c r="BH588" i="6" s="1"/>
  <c r="Y614" i="6"/>
  <c r="AR605" i="6" s="1"/>
  <c r="AO608" i="6"/>
  <c r="AU571" i="6"/>
  <c r="BO572" i="6"/>
  <c r="AO609" i="6"/>
  <c r="BA703" i="3"/>
  <c r="BA738" i="3" s="1"/>
  <c r="AH738" i="3" s="1"/>
  <c r="AZ738" i="3"/>
  <c r="AZ202" i="6"/>
  <c r="AJ969" i="3"/>
  <c r="AJ975" i="3" s="1"/>
  <c r="AJ1028" i="3" s="1"/>
  <c r="AU574" i="6"/>
  <c r="AO611" i="6"/>
  <c r="AR611" i="6" s="1"/>
  <c r="AK474" i="6"/>
  <c r="T704" i="6" s="1"/>
  <c r="AO695" i="6" s="1"/>
  <c r="AO693" i="6"/>
  <c r="T702" i="6" s="1"/>
  <c r="AF702" i="6" s="1"/>
  <c r="G5" i="9"/>
  <c r="BL584" i="6"/>
  <c r="G35" i="9"/>
  <c r="BP586" i="6"/>
  <c r="BP584" i="6"/>
  <c r="K9" i="9"/>
  <c r="BE573" i="6"/>
  <c r="AP583" i="6" s="1"/>
  <c r="BS527" i="6"/>
  <c r="BS531" i="6" s="1"/>
  <c r="BQ532" i="6" s="1"/>
  <c r="BE574" i="6"/>
  <c r="AP584" i="6" s="1"/>
  <c r="CH548" i="6"/>
  <c r="BM547" i="6" s="1"/>
  <c r="BW528" i="6"/>
  <c r="BW531" i="6" s="1"/>
  <c r="BU532" i="6" s="1"/>
  <c r="AR608" i="6"/>
  <c r="AR613" i="6"/>
  <c r="AR609" i="6"/>
  <c r="AR610" i="6"/>
  <c r="AR612" i="6"/>
  <c r="Q8" i="9"/>
  <c r="O9" i="9"/>
  <c r="K15" i="9"/>
  <c r="I22" i="9"/>
  <c r="I35" i="9" s="1"/>
  <c r="BF585" i="6"/>
  <c r="BF588" i="6" s="1"/>
  <c r="BP585" i="6"/>
  <c r="BL585" i="6"/>
  <c r="BO577" i="6"/>
  <c r="BT573" i="6"/>
  <c r="BY574" i="6" s="1"/>
  <c r="I5" i="9"/>
  <c r="K4" i="9"/>
  <c r="E6" i="9"/>
  <c r="Z805" i="3"/>
  <c r="E95" i="18" l="1"/>
  <c r="S104" i="4"/>
  <c r="E63" i="15"/>
  <c r="B95" i="18"/>
  <c r="B97" i="15"/>
  <c r="D97" i="15"/>
  <c r="B96" i="4"/>
  <c r="C97" i="15"/>
  <c r="C104" i="4"/>
  <c r="AU537" i="6"/>
  <c r="AU535" i="6"/>
  <c r="T24" i="5"/>
  <c r="CH550" i="6"/>
  <c r="BE576" i="6"/>
  <c r="AP586" i="6" s="1"/>
  <c r="CE530" i="6"/>
  <c r="CE531" i="6" s="1"/>
  <c r="CC532" i="6" s="1"/>
  <c r="BF589" i="6"/>
  <c r="AU534" i="6"/>
  <c r="BY535" i="6"/>
  <c r="AZ203" i="6"/>
  <c r="BA203" i="6"/>
  <c r="AO197" i="6" s="1"/>
  <c r="AP192" i="6" s="1"/>
  <c r="AU536" i="6"/>
  <c r="BL588" i="6"/>
  <c r="BJ589" i="6" s="1"/>
  <c r="BP588" i="6"/>
  <c r="BN589" i="6" s="1"/>
  <c r="BY533" i="6"/>
  <c r="CC533" i="6"/>
  <c r="CC534" i="6" s="1"/>
  <c r="BU534" i="6"/>
  <c r="BU537" i="6" s="1"/>
  <c r="BU533" i="6"/>
  <c r="BY534" i="6"/>
  <c r="BQ533" i="6"/>
  <c r="BQ537" i="6" s="1"/>
  <c r="AJ617" i="6"/>
  <c r="T708" i="6" s="1"/>
  <c r="BT577" i="6"/>
  <c r="CD575" i="6"/>
  <c r="CD577" i="6" s="1"/>
  <c r="M15" i="9"/>
  <c r="K22" i="9"/>
  <c r="K35" i="9" s="1"/>
  <c r="BY577" i="6"/>
  <c r="BQ548" i="6"/>
  <c r="BM550" i="6"/>
  <c r="E7" i="9"/>
  <c r="G6" i="9"/>
  <c r="E11" i="9"/>
  <c r="E37" i="9" s="1"/>
  <c r="S8" i="9"/>
  <c r="Q9" i="9"/>
  <c r="M4" i="9"/>
  <c r="K5" i="9"/>
  <c r="AP193" i="6" l="1"/>
  <c r="E103" i="18"/>
  <c r="S106" i="4"/>
  <c r="E97" i="15"/>
  <c r="AC456" i="3"/>
  <c r="C105" i="15"/>
  <c r="B104" i="4"/>
  <c r="D105" i="15"/>
  <c r="B105" i="15"/>
  <c r="B103" i="18"/>
  <c r="BJ590" i="6"/>
  <c r="AV554" i="6" s="1"/>
  <c r="CC536" i="6"/>
  <c r="CC535" i="6"/>
  <c r="CC537" i="6" s="1"/>
  <c r="T706" i="6"/>
  <c r="AF706" i="6"/>
  <c r="AF712" i="6" s="1"/>
  <c r="AK619" i="6"/>
  <c r="BY537" i="6"/>
  <c r="O4" i="9"/>
  <c r="M5" i="9"/>
  <c r="I6" i="9"/>
  <c r="G7" i="9"/>
  <c r="G11" i="9" s="1"/>
  <c r="G37" i="9" s="1"/>
  <c r="E49" i="9"/>
  <c r="E45" i="9"/>
  <c r="E48" i="9" s="1"/>
  <c r="U8" i="9"/>
  <c r="S9" i="9"/>
  <c r="CI576" i="6"/>
  <c r="CI577" i="6" s="1"/>
  <c r="CN577" i="6" s="1"/>
  <c r="BD558" i="6" s="1"/>
  <c r="BQ550" i="6"/>
  <c r="BU549" i="6"/>
  <c r="BU550" i="6" s="1"/>
  <c r="O15" i="9"/>
  <c r="M22" i="9"/>
  <c r="M35" i="9" s="1"/>
  <c r="AC457" i="3" l="1"/>
  <c r="E105" i="18"/>
  <c r="X1032" i="3"/>
  <c r="X1033" i="3" s="1"/>
  <c r="D1034" i="3" s="1"/>
  <c r="J58" i="25"/>
  <c r="AC455" i="3"/>
  <c r="F458" i="3" s="1"/>
  <c r="AB46" i="5"/>
  <c r="AB48" i="5" s="1"/>
  <c r="AB53" i="5" s="1"/>
  <c r="AB54" i="5" s="1"/>
  <c r="AB46" i="27"/>
  <c r="AB48" i="27" s="1"/>
  <c r="AB53" i="27" s="1"/>
  <c r="AB54" i="27" s="1"/>
  <c r="AB46" i="26"/>
  <c r="AB48" i="26" s="1"/>
  <c r="AB53" i="26" s="1"/>
  <c r="AB54" i="26" s="1"/>
  <c r="E105" i="15"/>
  <c r="CC550" i="6"/>
  <c r="CG537" i="6"/>
  <c r="AW562" i="6"/>
  <c r="AT560" i="6"/>
  <c r="G45" i="9"/>
  <c r="G48" i="9" s="1"/>
  <c r="G49" i="9"/>
  <c r="I7" i="9"/>
  <c r="K6" i="9"/>
  <c r="I11" i="9"/>
  <c r="I37" i="9" s="1"/>
  <c r="W8" i="9"/>
  <c r="U9" i="9"/>
  <c r="Q15" i="9"/>
  <c r="O22" i="9"/>
  <c r="O35" i="9" s="1"/>
  <c r="O5" i="9"/>
  <c r="Q4" i="9"/>
  <c r="E60" i="9"/>
  <c r="E47" i="9"/>
  <c r="Y11" i="26" l="1"/>
  <c r="Y23" i="26" s="1"/>
  <c r="Y26" i="26" s="1"/>
  <c r="Y28" i="26" s="1"/>
  <c r="Y63" i="26" s="1"/>
  <c r="Y67" i="26" s="1"/>
  <c r="T11" i="26"/>
  <c r="T23" i="26" s="1"/>
  <c r="T11" i="5"/>
  <c r="T11" i="27"/>
  <c r="T23" i="27" s="1"/>
  <c r="Y11" i="27"/>
  <c r="Y23" i="27" s="1"/>
  <c r="Y26" i="27" s="1"/>
  <c r="Y28" i="27" s="1"/>
  <c r="Y63" i="27" s="1"/>
  <c r="Y67" i="27" s="1"/>
  <c r="Y11" i="5"/>
  <c r="Y23" i="5" s="1"/>
  <c r="Y26" i="5" s="1"/>
  <c r="Y28" i="5" s="1"/>
  <c r="Y63" i="5" s="1"/>
  <c r="Y67" i="5" s="1"/>
  <c r="G71" i="25"/>
  <c r="G72" i="25" s="1"/>
  <c r="B75" i="25" s="1"/>
  <c r="B76" i="25"/>
  <c r="O76" i="25" s="1"/>
  <c r="K7" i="9"/>
  <c r="M6" i="9"/>
  <c r="K11" i="9"/>
  <c r="K37" i="9" s="1"/>
  <c r="G47" i="9"/>
  <c r="G60" i="9"/>
  <c r="S15" i="9"/>
  <c r="Q22" i="9"/>
  <c r="Q35" i="9" s="1"/>
  <c r="I49" i="9"/>
  <c r="I45" i="9"/>
  <c r="Q5" i="9"/>
  <c r="S4" i="9"/>
  <c r="E66" i="9"/>
  <c r="E67" i="9"/>
  <c r="W9" i="9"/>
  <c r="Y8" i="9"/>
  <c r="T26" i="26" l="1"/>
  <c r="T28" i="26" s="1"/>
  <c r="AD38" i="26"/>
  <c r="AD40" i="26" s="1"/>
  <c r="T26" i="27"/>
  <c r="T28" i="27" s="1"/>
  <c r="T29" i="27" s="1"/>
  <c r="AD38" i="27"/>
  <c r="AD40" i="27" s="1"/>
  <c r="Y38" i="27"/>
  <c r="Y40" i="27" s="1"/>
  <c r="T23" i="5"/>
  <c r="BE16" i="28"/>
  <c r="E70" i="9"/>
  <c r="E72" i="9" s="1"/>
  <c r="S22" i="9"/>
  <c r="S35" i="9" s="1"/>
  <c r="U15" i="9"/>
  <c r="G67" i="9"/>
  <c r="G68" i="9"/>
  <c r="G66" i="9"/>
  <c r="G69" i="9"/>
  <c r="G62" i="9"/>
  <c r="K49" i="9"/>
  <c r="K45" i="9"/>
  <c r="S5" i="9"/>
  <c r="U4" i="9"/>
  <c r="Y9" i="9"/>
  <c r="AA8" i="9"/>
  <c r="O6" i="9"/>
  <c r="M7" i="9"/>
  <c r="M11" i="9" s="1"/>
  <c r="M37" i="9" s="1"/>
  <c r="I47" i="9"/>
  <c r="I48" i="9"/>
  <c r="I60" i="9"/>
  <c r="Y41" i="27" l="1"/>
  <c r="AB55" i="27" s="1"/>
  <c r="AB56" i="27" s="1"/>
  <c r="AB58" i="27" s="1"/>
  <c r="F59" i="27" s="1"/>
  <c r="T26" i="5"/>
  <c r="T28" i="5" s="1"/>
  <c r="T29" i="5" s="1"/>
  <c r="Q71" i="25"/>
  <c r="O75" i="25" s="1"/>
  <c r="R75" i="25" s="1"/>
  <c r="AD38" i="5"/>
  <c r="AD40" i="5" s="1"/>
  <c r="Y38" i="26"/>
  <c r="Y40" i="26" s="1"/>
  <c r="Y41" i="26" s="1"/>
  <c r="AB55" i="26" s="1"/>
  <c r="AB56" i="26" s="1"/>
  <c r="AB58" i="26" s="1"/>
  <c r="T29" i="26"/>
  <c r="O7" i="9"/>
  <c r="Q6" i="9"/>
  <c r="O11" i="9"/>
  <c r="O37" i="9" s="1"/>
  <c r="I69" i="9"/>
  <c r="I67" i="9"/>
  <c r="I62" i="9"/>
  <c r="I68" i="9"/>
  <c r="I66" i="9"/>
  <c r="G70" i="9"/>
  <c r="G72" i="9" s="1"/>
  <c r="M45" i="9"/>
  <c r="M49" i="9"/>
  <c r="K60" i="9"/>
  <c r="K47" i="9"/>
  <c r="K48" i="9"/>
  <c r="W15" i="9"/>
  <c r="U22" i="9"/>
  <c r="U35" i="9" s="1"/>
  <c r="AA9" i="9"/>
  <c r="AC8" i="9"/>
  <c r="U5" i="9"/>
  <c r="W4" i="9"/>
  <c r="AB75" i="27" l="1"/>
  <c r="AB76" i="27" s="1"/>
  <c r="AB77" i="27" s="1"/>
  <c r="AB79" i="27" s="1"/>
  <c r="J80" i="27" s="1"/>
  <c r="Y38" i="5"/>
  <c r="Y40" i="5" s="1"/>
  <c r="AR43" i="5" s="1"/>
  <c r="AB75" i="26"/>
  <c r="AB76" i="26" s="1"/>
  <c r="AB77" i="26" s="1"/>
  <c r="AB79" i="26" s="1"/>
  <c r="J80" i="26" s="1"/>
  <c r="F59" i="26"/>
  <c r="Y4" i="9"/>
  <c r="W5" i="9"/>
  <c r="K62" i="9"/>
  <c r="K66" i="9"/>
  <c r="K69" i="9"/>
  <c r="K68" i="9"/>
  <c r="K67" i="9"/>
  <c r="O49" i="9"/>
  <c r="O45" i="9"/>
  <c r="I70" i="9"/>
  <c r="I72" i="9" s="1"/>
  <c r="AC9" i="9"/>
  <c r="AE8" i="9"/>
  <c r="M48" i="9"/>
  <c r="M47" i="9"/>
  <c r="M60" i="9"/>
  <c r="S6" i="9"/>
  <c r="Q7" i="9"/>
  <c r="Q11" i="9"/>
  <c r="Q37" i="9" s="1"/>
  <c r="Y15" i="9"/>
  <c r="W22" i="9"/>
  <c r="W35" i="9" s="1"/>
  <c r="AR42" i="5" l="1"/>
  <c r="Y41" i="5" s="1"/>
  <c r="AB55" i="5" s="1"/>
  <c r="M25" i="3" s="1"/>
  <c r="AE9" i="9"/>
  <c r="AG8" i="9"/>
  <c r="AG9" i="9" s="1"/>
  <c r="Q45" i="9"/>
  <c r="Q49" i="9"/>
  <c r="O47" i="9"/>
  <c r="O48" i="9"/>
  <c r="O60" i="9"/>
  <c r="K70" i="9"/>
  <c r="K72" i="9" s="1"/>
  <c r="AA15" i="9"/>
  <c r="Y22" i="9"/>
  <c r="Y35" i="9" s="1"/>
  <c r="S7" i="9"/>
  <c r="S11" i="9" s="1"/>
  <c r="S37" i="9" s="1"/>
  <c r="U6" i="9"/>
  <c r="M62" i="9"/>
  <c r="M67" i="9"/>
  <c r="M66" i="9"/>
  <c r="M68" i="9"/>
  <c r="M69" i="9"/>
  <c r="AA4" i="9"/>
  <c r="Y5" i="9"/>
  <c r="BE15" i="28" l="1"/>
  <c r="Q22" i="28"/>
  <c r="V33" i="28" s="1"/>
  <c r="V35" i="28" s="1"/>
  <c r="AB56" i="5"/>
  <c r="AB58" i="5" s="1"/>
  <c r="AB75" i="5" s="1"/>
  <c r="AB76" i="5" s="1"/>
  <c r="P203" i="3"/>
  <c r="Q48" i="9"/>
  <c r="Q60" i="9"/>
  <c r="Q47" i="9"/>
  <c r="U7" i="9"/>
  <c r="U11" i="9" s="1"/>
  <c r="U37" i="9" s="1"/>
  <c r="W6" i="9"/>
  <c r="AC4" i="9"/>
  <c r="AA5" i="9"/>
  <c r="AA22" i="9"/>
  <c r="AA35" i="9" s="1"/>
  <c r="AC15" i="9"/>
  <c r="O68" i="9"/>
  <c r="O66" i="9"/>
  <c r="O62" i="9"/>
  <c r="O69" i="9"/>
  <c r="O67" i="9"/>
  <c r="S45" i="9"/>
  <c r="S49" i="9"/>
  <c r="M70" i="9"/>
  <c r="M72" i="9" s="1"/>
  <c r="F59" i="5" l="1"/>
  <c r="M27" i="3"/>
  <c r="AB77" i="5"/>
  <c r="AB79" i="5" s="1"/>
  <c r="J80" i="5" s="1"/>
  <c r="O70" i="9"/>
  <c r="O72" i="9" s="1"/>
  <c r="W7" i="9"/>
  <c r="Y6" i="9"/>
  <c r="W11" i="9"/>
  <c r="W37" i="9" s="1"/>
  <c r="U45" i="9"/>
  <c r="U49" i="9"/>
  <c r="AC22" i="9"/>
  <c r="AC35" i="9" s="1"/>
  <c r="AE15" i="9"/>
  <c r="S60" i="9"/>
  <c r="S47" i="9"/>
  <c r="S48" i="9"/>
  <c r="Q69" i="9"/>
  <c r="Q66" i="9"/>
  <c r="Q62" i="9"/>
  <c r="Q67" i="9"/>
  <c r="Q68" i="9"/>
  <c r="AC5" i="9"/>
  <c r="AE4" i="9"/>
  <c r="W203" i="3" l="1"/>
  <c r="D203" i="3"/>
  <c r="AG15" i="9"/>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<sst xmlns="http://schemas.openxmlformats.org/spreadsheetml/2006/main" count="4682" uniqueCount="2467">
  <si>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</si>
  <si>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</si>
  <si>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</si>
  <si>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</si>
  <si>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</si>
  <si>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</si>
  <si>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</si>
  <si>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</si>
  <si>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</si>
  <si>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</si>
  <si>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</si>
  <si>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</si>
  <si>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</si>
  <si>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</si>
  <si>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</si>
  <si>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</si>
  <si>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</si>
  <si>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</si>
  <si>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</si>
  <si>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</si>
  <si>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</si>
  <si>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</si>
  <si>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</si>
  <si>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</si>
  <si>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</si>
  <si>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</si>
  <si>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</si>
  <si>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</si>
  <si>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</si>
  <si>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</si>
  <si>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</si>
  <si>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</si>
  <si>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</si>
  <si>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</si>
  <si>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</si>
  <si>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</si>
  <si>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</si>
  <si>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</si>
  <si>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</si>
  <si>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</si>
  <si>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</si>
  <si>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</si>
  <si>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</si>
  <si>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</si>
  <si>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</si>
  <si>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</si>
  <si>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</si>
  <si>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</si>
  <si>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</si>
  <si>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</si>
  <si>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</si>
  <si>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</si>
  <si>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</si>
  <si>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</si>
  <si>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</si>
  <si>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</si>
  <si>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</si>
  <si>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</si>
  <si>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</si>
  <si>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</si>
  <si>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</si>
  <si>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</si>
  <si>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</si>
  <si>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</si>
  <si>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</si>
  <si>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</si>
  <si>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</si>
  <si>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</si>
  <si>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</si>
  <si>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</si>
  <si>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</si>
  <si>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</si>
  <si>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</si>
  <si>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</si>
  <si>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</si>
  <si>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</si>
  <si>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</si>
  <si>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</si>
  <si>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</si>
  <si>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</si>
  <si>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</si>
  <si>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</si>
  <si>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</si>
  <si>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</si>
  <si>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</si>
  <si>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</si>
  <si>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</si>
  <si>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</si>
  <si>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</si>
  <si>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</si>
  <si>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</si>
  <si>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</si>
  <si>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</si>
  <si>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</si>
  <si>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</si>
  <si>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</si>
  <si>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</si>
  <si>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</si>
  <si>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</si>
  <si>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</si>
  <si>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</si>
  <si>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</si>
  <si>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</si>
  <si>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</si>
  <si>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</si>
  <si>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</si>
  <si>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</si>
  <si>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</si>
  <si>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</si>
  <si>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</si>
  <si>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</si>
  <si>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</si>
  <si>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</si>
  <si>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</si>
  <si>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</si>
  <si>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</si>
  <si>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</si>
  <si>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</si>
  <si>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</si>
  <si>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</si>
  <si>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</si>
  <si>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</si>
  <si>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</si>
  <si>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</si>
  <si>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</si>
  <si>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</si>
  <si>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</si>
  <si>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</si>
  <si>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</si>
  <si>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</si>
  <si>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</si>
  <si>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</si>
  <si>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</si>
  <si>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</si>
  <si>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</si>
  <si>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</si>
  <si>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</si>
  <si>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</si>
  <si>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</si>
  <si>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</si>
  <si>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</si>
  <si>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</si>
  <si>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</si>
  <si>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</si>
  <si>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</si>
  <si>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</si>
  <si>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</si>
  <si>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</si>
  <si>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</si>
  <si>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</si>
  <si>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</si>
  <si>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</si>
  <si>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</si>
  <si>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</si>
  <si>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</si>
  <si>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</si>
  <si>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</si>
  <si>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</si>
  <si>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</si>
  <si>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</si>
  <si>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</si>
  <si>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</si>
  <si>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</si>
  <si>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</si>
  <si>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</si>
  <si>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</si>
  <si>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</si>
  <si>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</si>
  <si>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</si>
  <si>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</si>
  <si>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</si>
  <si>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</si>
  <si>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</si>
  <si>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</si>
  <si>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</si>
  <si>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</si>
  <si>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</si>
  <si>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</si>
  <si>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</si>
  <si>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</si>
  <si>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</si>
  <si>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</si>
  <si>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</si>
  <si>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</si>
  <si>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</si>
  <si>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</si>
  <si>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</si>
  <si>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</si>
  <si>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</si>
  <si>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</si>
  <si>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</si>
  <si>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</si>
  <si>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</si>
  <si>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</si>
  <si>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</si>
  <si>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</si>
  <si>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</si>
  <si>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</si>
  <si>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</si>
  <si>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</si>
  <si>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</si>
  <si>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</si>
  <si>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</si>
  <si>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</si>
  <si>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</si>
  <si>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</si>
  <si>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</si>
  <si>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</si>
  <si>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</si>
  <si>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</si>
  <si>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</si>
  <si>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</si>
  <si>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</si>
  <si>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</si>
  <si>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</si>
  <si>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</si>
  <si>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</si>
  <si>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</si>
  <si>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</si>
  <si>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</si>
  <si>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</si>
  <si>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</si>
  <si>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</si>
  <si>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</si>
  <si>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</si>
  <si>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</si>
  <si>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</si>
  <si>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</si>
  <si>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</si>
  <si>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</si>
  <si>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</si>
  <si>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</si>
  <si>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</si>
  <si>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</si>
  <si>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</si>
  <si>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</si>
  <si>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</si>
  <si>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</si>
  <si>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</si>
  <si>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</si>
  <si>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</si>
  <si>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</si>
  <si>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</si>
  <si>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</si>
  <si>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</si>
  <si>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</si>
  <si>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</si>
  <si>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</si>
  <si>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</si>
  <si>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</si>
  <si>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</si>
  <si>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</si>
  <si>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</si>
  <si>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</si>
  <si>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</si>
  <si>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</si>
  <si>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</si>
  <si>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</si>
  <si>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</si>
  <si>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</si>
  <si>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</si>
  <si>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</si>
  <si>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</si>
  <si>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</si>
  <si>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</si>
  <si>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</si>
  <si>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</si>
  <si>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</si>
  <si>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</si>
  <si>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</si>
  <si>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</si>
  <si>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</si>
  <si>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</si>
  <si>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</si>
  <si>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</si>
  <si>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</si>
  <si>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</si>
  <si>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</si>
  <si>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</si>
  <si>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</si>
  <si>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</si>
  <si>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</si>
  <si>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</si>
  <si>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</si>
  <si>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</si>
  <si>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</si>
  <si>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</si>
  <si>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</si>
  <si>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</si>
  <si>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</si>
  <si>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</si>
  <si>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</si>
  <si>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</si>
  <si>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</si>
  <si>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</si>
  <si>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</si>
  <si>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</si>
  <si>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</si>
  <si>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</si>
  <si>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</si>
  <si>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</si>
  <si>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</si>
  <si>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</si>
  <si>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</si>
  <si>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</si>
  <si>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</si>
  <si>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</si>
  <si>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</si>
  <si>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</si>
  <si>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</si>
  <si>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</si>
  <si>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</si>
  <si>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</si>
  <si>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</si>
  <si>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</si>
  <si>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</si>
  <si>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</si>
  <si>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</si>
  <si>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</si>
  <si>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</si>
  <si>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</si>
  <si>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</si>
  <si>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</si>
  <si>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</si>
  <si>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</si>
  <si>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</si>
  <si>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</si>
  <si>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</si>
  <si>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</si>
  <si>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</si>
  <si>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</si>
  <si>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</si>
  <si>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</si>
  <si>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</si>
  <si>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</si>
  <si>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</si>
  <si>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</si>
  <si>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</si>
  <si>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</si>
  <si>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</si>
  <si>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</si>
  <si>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</si>
  <si>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</si>
  <si>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</si>
  <si>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</si>
  <si>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</si>
  <si>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</si>
  <si>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</si>
  <si>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</si>
  <si>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</si>
  <si>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</si>
  <si>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</si>
  <si>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</si>
  <si>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</si>
  <si>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</si>
  <si>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</si>
  <si>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</si>
  <si>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</si>
  <si>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</si>
  <si>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</si>
  <si>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</si>
  <si>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</si>
  <si>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</si>
  <si>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</si>
  <si>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</si>
  <si>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</si>
  <si>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</si>
  <si>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</si>
  <si>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</si>
  <si>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</si>
  <si>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</si>
  <si>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</si>
  <si>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</si>
  <si>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</si>
  <si>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</si>
  <si>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</si>
  <si>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</si>
  <si>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</si>
  <si>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</si>
  <si>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</si>
  <si>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</si>
  <si>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</si>
  <si>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</si>
  <si>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</si>
  <si>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</si>
  <si>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</si>
  <si>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</si>
  <si>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</si>
  <si>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</si>
  <si>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</si>
  <si>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</si>
  <si>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</si>
  <si>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</si>
  <si>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</si>
  <si>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</si>
  <si>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</si>
  <si>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</si>
  <si>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</si>
  <si>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</si>
  <si>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</si>
  <si>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</si>
  <si>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</si>
  <si>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</si>
  <si>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</si>
  <si>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</si>
  <si>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</si>
  <si>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</si>
  <si>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</si>
  <si>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</si>
  <si>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</si>
  <si>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</si>
  <si>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</si>
  <si>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</si>
  <si>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</si>
  <si>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</si>
  <si>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</si>
  <si>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</si>
  <si>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</si>
  <si>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</si>
  <si>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</si>
  <si>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</si>
  <si>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</si>
  <si>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</si>
  <si>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</si>
  <si>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</si>
  <si>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</si>
  <si>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</si>
  <si>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</si>
  <si>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</si>
  <si>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</si>
  <si>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</si>
  <si>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</si>
  <si>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</si>
  <si>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</si>
  <si>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</si>
  <si>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</si>
  <si>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</si>
  <si>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</si>
  <si>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</si>
  <si>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</si>
  <si>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</si>
  <si>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</si>
  <si>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</si>
  <si>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</si>
  <si>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</si>
  <si>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</si>
  <si>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</si>
  <si>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</si>
  <si>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</si>
  <si>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</si>
  <si>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</si>
  <si>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</si>
  <si>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</si>
  <si>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</si>
  <si>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</si>
  <si>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</si>
  <si>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</si>
  <si>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</si>
  <si>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</si>
  <si>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</si>
  <si>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</si>
  <si>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</si>
  <si>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</si>
  <si>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</si>
  <si>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</si>
  <si>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</si>
  <si>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</si>
  <si>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</si>
  <si>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</si>
  <si>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</si>
  <si>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</si>
  <si>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</si>
  <si>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</si>
  <si>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</si>
  <si>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</si>
  <si>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</si>
  <si>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</si>
  <si>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</si>
  <si>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</si>
  <si>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</si>
  <si>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</si>
  <si>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</si>
  <si>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</si>
  <si>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</si>
  <si>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</si>
  <si>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</si>
  <si>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</si>
  <si>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</si>
  <si>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</si>
  <si>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</si>
  <si>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</si>
  <si>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</si>
  <si>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</si>
  <si>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</si>
  <si>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</si>
  <si>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</si>
  <si>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</si>
  <si>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</si>
  <si>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</si>
  <si>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</si>
  <si>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</si>
  <si>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</si>
  <si>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</si>
  <si>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</si>
  <si>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</si>
  <si>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</si>
  <si>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</si>
  <si>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</si>
  <si>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</si>
  <si>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</si>
  <si>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</si>
  <si>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</si>
  <si>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</si>
  <si>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</si>
  <si>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</si>
  <si>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</si>
  <si>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</si>
  <si>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</si>
  <si>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</si>
  <si>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</si>
  <si>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</si>
  <si>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</si>
  <si>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</si>
  <si>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</si>
  <si>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</si>
  <si>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</si>
  <si>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</si>
  <si>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</si>
  <si>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</si>
  <si>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</si>
  <si>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</si>
  <si>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</si>
  <si>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</si>
  <si>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</si>
  <si>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</si>
  <si>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</si>
  <si>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</si>
  <si>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</si>
  <si>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</si>
  <si>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</si>
  <si>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</si>
  <si>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</si>
  <si>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</si>
  <si>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</si>
  <si>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</si>
  <si>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</si>
  <si>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</si>
  <si>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</si>
  <si>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</si>
  <si>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</si>
  <si>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</si>
  <si>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</si>
  <si>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</si>
  <si>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</si>
  <si>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</si>
  <si>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</si>
  <si>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</si>
  <si>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</si>
  <si>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</si>
  <si>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</si>
  <si>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</si>
  <si>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</si>
  <si>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</si>
  <si>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</si>
  <si>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</si>
  <si>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</si>
  <si>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</si>
  <si>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</si>
  <si>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</si>
  <si>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</si>
  <si>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</si>
  <si>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</si>
  <si>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</si>
  <si>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</si>
  <si>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</si>
  <si>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</si>
  <si>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</si>
  <si>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</si>
  <si>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</si>
  <si>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</si>
  <si>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</si>
  <si>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</si>
  <si>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</si>
  <si>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</si>
  <si>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</si>
  <si>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</si>
  <si>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</si>
  <si>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</si>
  <si>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</si>
  <si>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</si>
  <si>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</si>
  <si>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</si>
  <si>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</si>
  <si>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</si>
  <si>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</si>
  <si>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</si>
  <si>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</si>
  <si>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</si>
  <si>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</si>
  <si>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</si>
  <si>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</si>
  <si>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</si>
  <si>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</si>
  <si>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</si>
  <si>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</si>
  <si>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</si>
  <si>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</si>
  <si>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</si>
  <si>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</si>
  <si>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</si>
  <si>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</si>
  <si>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</si>
  <si>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</si>
  <si>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</si>
  <si>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</si>
  <si>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</si>
  <si>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</si>
  <si>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</si>
  <si>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</si>
  <si>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</si>
  <si>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</si>
  <si>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</si>
  <si>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</si>
  <si>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</si>
  <si>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</si>
  <si>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</si>
  <si>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</si>
  <si>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</si>
  <si>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</si>
  <si>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</si>
  <si>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</si>
  <si>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</si>
  <si>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</si>
  <si>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</si>
  <si>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</si>
  <si>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</si>
  <si>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</si>
  <si>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</si>
  <si>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</si>
  <si>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</si>
  <si>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</si>
  <si>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</si>
  <si>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</si>
  <si>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</si>
  <si>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</si>
  <si>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</si>
  <si>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</si>
  <si>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</si>
  <si>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</si>
  <si>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</si>
  <si>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</si>
  <si>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</si>
  <si>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</si>
  <si>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</si>
  <si>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</si>
  <si>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</si>
  <si>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</si>
  <si>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</si>
  <si>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</si>
  <si>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</si>
  <si>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</si>
  <si>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</si>
  <si>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</si>
  <si>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</si>
  <si>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</si>
  <si>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</si>
  <si>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</si>
  <si>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</si>
  <si>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</si>
  <si>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</si>
  <si>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</si>
  <si>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</si>
  <si>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</si>
  <si>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</si>
  <si>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</si>
  <si>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</si>
  <si>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</si>
  <si>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</si>
  <si>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</si>
  <si>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</si>
  <si>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</si>
  <si>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</si>
  <si>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</si>
  <si>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</si>
  <si>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</si>
  <si>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</si>
  <si>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</si>
  <si>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</si>
  <si>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</si>
  <si>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</si>
  <si>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</si>
  <si>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</si>
  <si>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</si>
  <si>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</si>
  <si>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</si>
  <si>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</si>
  <si>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</si>
  <si>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</si>
  <si>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</si>
  <si>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</si>
  <si>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</si>
  <si>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</si>
  <si>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</si>
  <si>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</si>
  <si>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</si>
  <si>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</si>
  <si>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</si>
  <si>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</si>
  <si>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</si>
  <si>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</si>
  <si>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</si>
  <si>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</si>
  <si>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</si>
  <si>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</si>
  <si>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</si>
  <si>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</si>
  <si>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</si>
  <si>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</si>
  <si>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</si>
  <si>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</si>
  <si>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</si>
  <si>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</si>
  <si>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</si>
  <si>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</si>
  <si>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</si>
  <si>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</si>
  <si>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</si>
  <si>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</si>
  <si>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</si>
  <si>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</si>
  <si>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</si>
  <si>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</si>
  <si>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</si>
  <si>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</si>
  <si>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</si>
  <si>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</si>
  <si>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</si>
  <si>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</si>
  <si>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</si>
  <si>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</si>
  <si>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</si>
  <si>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</si>
  <si>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</si>
  <si>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</si>
  <si>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</si>
  <si>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</si>
  <si>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</si>
  <si>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</si>
  <si>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</si>
  <si>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</si>
  <si>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</si>
  <si>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</si>
  <si>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</si>
  <si>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</si>
  <si>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</si>
  <si>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</si>
  <si>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</si>
  <si>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</si>
  <si>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</si>
  <si>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</si>
  <si>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</si>
  <si>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</si>
  <si>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</si>
  <si>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</si>
  <si>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</si>
  <si>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</si>
  <si>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</si>
  <si>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</si>
  <si>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</si>
  <si>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</si>
  <si>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</si>
  <si>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</si>
  <si>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</si>
  <si>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</si>
  <si>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</si>
  <si>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</si>
  <si>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</si>
  <si>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</si>
  <si>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</si>
  <si>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</si>
  <si>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</si>
  <si>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</si>
  <si>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</si>
  <si>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</si>
  <si>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</si>
  <si>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</si>
  <si>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</si>
  <si>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</si>
  <si>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</si>
  <si>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</si>
  <si>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</si>
  <si>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</si>
  <si>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</si>
  <si>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</si>
  <si>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</si>
  <si>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</si>
  <si>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</si>
  <si>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</si>
  <si>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</si>
  <si>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</si>
  <si>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</si>
  <si>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</si>
  <si>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</si>
  <si>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</si>
  <si>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</si>
  <si>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</si>
  <si>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</si>
  <si>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</si>
  <si>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</si>
  <si>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</si>
  <si>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</si>
  <si>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</si>
  <si>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</si>
  <si>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</si>
  <si>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</si>
  <si>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</si>
  <si>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</si>
  <si>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</si>
  <si>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</si>
  <si>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</si>
  <si>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</si>
  <si>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</si>
  <si>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</si>
  <si>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</si>
  <si>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</si>
  <si>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</si>
  <si>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</si>
  <si>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</si>
  <si>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</si>
  <si>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</si>
  <si>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</si>
  <si>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</si>
  <si>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</si>
  <si>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</si>
  <si>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</si>
  <si>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</si>
  <si>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</si>
  <si>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</si>
  <si>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</si>
  <si>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</si>
  <si>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</si>
  <si>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</si>
  <si>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</si>
  <si>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</si>
  <si>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</si>
  <si>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</si>
  <si>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</si>
  <si>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</si>
  <si>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</si>
  <si>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</si>
  <si>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</si>
  <si>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</si>
  <si>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</si>
  <si>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</si>
  <si>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</si>
  <si>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</si>
  <si>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</si>
  <si>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</si>
  <si>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</si>
  <si>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</si>
  <si>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</si>
  <si>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</si>
  <si>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</si>
  <si>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</si>
  <si>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</si>
  <si>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</si>
  <si>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</si>
  <si>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</si>
  <si>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</si>
  <si>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</si>
  <si>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</si>
  <si>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</si>
  <si>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</si>
  <si>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</si>
  <si>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</si>
  <si>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</si>
  <si>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</si>
  <si>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</si>
  <si>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</si>
  <si>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</si>
  <si>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</si>
  <si>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</si>
  <si>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</si>
  <si>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</si>
  <si>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</si>
  <si>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</si>
  <si>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</si>
  <si>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</si>
  <si>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</si>
  <si>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</si>
  <si>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</si>
  <si>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</si>
  <si>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</si>
  <si>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</si>
  <si>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</si>
  <si>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</si>
  <si>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</si>
  <si>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</si>
  <si>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</si>
  <si>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</si>
  <si>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</si>
  <si>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</si>
  <si>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</si>
  <si>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</si>
  <si>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</si>
  <si>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</si>
  <si>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</si>
  <si>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</si>
  <si>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</si>
  <si>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</si>
  <si>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</si>
  <si>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</si>
  <si>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</si>
  <si>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</si>
  <si>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</si>
  <si>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</si>
  <si>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</si>
  <si>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</si>
  <si>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</si>
  <si>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</si>
  <si>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</si>
  <si>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</si>
  <si>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</si>
  <si>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</si>
  <si>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</si>
  <si>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</si>
  <si>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</si>
  <si>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</si>
  <si>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</si>
  <si>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</si>
  <si>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</si>
  <si>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</si>
  <si>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</si>
  <si>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</si>
  <si>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</si>
  <si>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</si>
  <si>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</si>
  <si>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</si>
  <si>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</si>
  <si>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</si>
  <si>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</si>
  <si>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</si>
  <si>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</si>
  <si>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</si>
  <si>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</si>
  <si>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</si>
  <si>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</si>
  <si>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</si>
  <si>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</si>
  <si>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</si>
  <si>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</si>
  <si>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</si>
  <si>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</si>
  <si>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</si>
  <si>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</si>
  <si>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</si>
  <si>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</si>
  <si>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</si>
  <si>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</si>
  <si>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</si>
  <si>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</si>
  <si>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</si>
  <si>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</si>
  <si>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</si>
  <si>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</si>
  <si>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</si>
  <si>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</si>
  <si>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</si>
  <si>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</si>
  <si>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</si>
  <si>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</si>
  <si>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</si>
  <si>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</si>
  <si>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</si>
  <si>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</si>
  <si>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</si>
  <si>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</si>
  <si>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</si>
  <si>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</si>
  <si>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</si>
  <si>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</si>
  <si>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</si>
  <si>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</si>
  <si>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</si>
  <si>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</si>
  <si>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</si>
  <si>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</si>
  <si>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</si>
  <si>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</si>
  <si>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</si>
  <si>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</si>
  <si>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</si>
  <si>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</si>
  <si>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</si>
  <si>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</si>
  <si>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</si>
  <si>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</si>
  <si>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</si>
  <si>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</si>
  <si>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</si>
  <si>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</si>
  <si>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</si>
  <si>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</si>
  <si>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</si>
  <si>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</si>
  <si>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</si>
  <si>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</si>
  <si>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</si>
  <si>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</si>
  <si>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</si>
  <si>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</si>
  <si>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</si>
  <si>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</si>
  <si>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</si>
  <si>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</si>
  <si>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</si>
  <si>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</si>
  <si>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</si>
  <si>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</si>
  <si>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</si>
  <si>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</si>
  <si>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</si>
  <si>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</si>
  <si>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</si>
  <si>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</si>
  <si>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</si>
  <si>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</si>
  <si>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</si>
  <si>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</si>
  <si>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</si>
  <si>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</si>
  <si>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</si>
  <si>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</si>
  <si>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</si>
  <si>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</si>
  <si>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</si>
  <si>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</si>
  <si>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</si>
  <si>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</si>
  <si>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</si>
  <si>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</si>
  <si>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</si>
  <si>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</si>
  <si>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</si>
  <si>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</si>
  <si>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</si>
  <si>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</si>
  <si>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</si>
  <si>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</si>
  <si>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</si>
  <si>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</si>
  <si>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</si>
  <si>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</si>
  <si>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</si>
  <si>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</si>
  <si>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</si>
  <si>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</si>
  <si>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</si>
  <si>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</si>
  <si>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</si>
  <si>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</si>
  <si>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</si>
  <si>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</si>
  <si>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</si>
  <si>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</si>
  <si>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</si>
  <si>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</si>
  <si>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</si>
  <si>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</si>
  <si>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</si>
  <si>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</si>
  <si>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</si>
  <si>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</si>
  <si>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</si>
  <si>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</si>
  <si>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</si>
  <si>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</si>
  <si>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</si>
  <si>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</si>
  <si>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</si>
  <si>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</si>
  <si>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</si>
  <si>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</si>
  <si>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</si>
  <si>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</si>
  <si>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</si>
  <si>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</si>
  <si>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</si>
  <si>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</si>
  <si>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</si>
  <si>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</si>
  <si>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</si>
  <si>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</si>
  <si>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</si>
  <si>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</si>
  <si>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</si>
  <si>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</si>
  <si>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</si>
  <si>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</si>
  <si>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</si>
  <si>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</si>
  <si>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</si>
  <si>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</si>
  <si>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</si>
  <si>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</si>
  <si>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</si>
  <si>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</si>
  <si>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</si>
  <si>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</si>
  <si>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</si>
  <si>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</si>
  <si>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</si>
  <si>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</si>
  <si>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</si>
  <si>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</si>
  <si>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</si>
  <si>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</si>
  <si>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</si>
  <si>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</si>
  <si>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</si>
  <si>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</si>
  <si>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</si>
  <si>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</si>
  <si>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</si>
  <si>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</si>
  <si>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</si>
  <si>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</si>
  <si>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</si>
  <si>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</si>
  <si>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</si>
  <si>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</si>
  <si>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</si>
  <si>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</si>
  <si>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</si>
  <si>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</si>
  <si>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</si>
  <si>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</si>
  <si>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</si>
  <si>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</si>
  <si>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</si>
  <si>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</si>
  <si>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</si>
  <si>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</si>
  <si>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</si>
  <si>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</si>
  <si>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</si>
  <si>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</si>
  <si>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</si>
  <si>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</si>
  <si>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</si>
  <si>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</si>
  <si>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</si>
  <si>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</si>
  <si>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</si>
  <si>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</si>
  <si>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</si>
  <si>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</si>
  <si>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</si>
  <si>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</si>
  <si>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</si>
  <si>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</si>
  <si>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</si>
  <si>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</si>
  <si>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</si>
  <si>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</si>
  <si>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</si>
  <si>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</si>
  <si>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</si>
  <si>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</si>
  <si>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</si>
  <si>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</si>
  <si>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</si>
  <si>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</si>
  <si>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</si>
  <si>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</si>
  <si>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</si>
  <si>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</si>
  <si>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</si>
  <si>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</si>
  <si>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</si>
  <si>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</si>
  <si>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</si>
  <si>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</si>
  <si>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</si>
  <si>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</si>
  <si>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</si>
  <si>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</si>
  <si>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</si>
  <si>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</si>
  <si>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</si>
  <si>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</si>
  <si>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</si>
  <si>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</si>
  <si>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</si>
  <si>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</si>
  <si>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</si>
  <si>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</si>
  <si>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</si>
  <si>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</si>
  <si>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</si>
  <si>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</si>
  <si>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</si>
  <si>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</si>
  <si>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</si>
  <si>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</si>
  <si>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</si>
  <si>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</si>
  <si>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</si>
  <si>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</si>
  <si>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</si>
  <si>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</si>
  <si>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</si>
  <si>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</si>
  <si>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</si>
  <si>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</si>
  <si>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</si>
  <si>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</si>
  <si>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</si>
  <si>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</si>
  <si>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</si>
  <si>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</si>
  <si>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</si>
  <si>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</si>
  <si>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</si>
  <si>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</si>
  <si>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</si>
  <si>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</si>
  <si>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</si>
  <si>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</si>
  <si>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</si>
  <si>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</si>
  <si>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</si>
  <si>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</si>
  <si>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</si>
  <si>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</si>
  <si>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</si>
  <si>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</si>
  <si>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</si>
  <si>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</si>
  <si>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</si>
  <si>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</si>
  <si>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</si>
  <si>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</si>
  <si>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</si>
  <si>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</si>
  <si>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</si>
  <si>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</si>
  <si>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</si>
  <si>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</si>
  <si>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</si>
  <si>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</si>
  <si>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</si>
  <si>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</si>
  <si>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</si>
  <si>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</si>
  <si>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</si>
  <si>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</si>
  <si>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</si>
  <si>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</si>
  <si>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</si>
  <si>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</si>
  <si>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</si>
  <si>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</si>
  <si>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</si>
  <si>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</si>
  <si>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</si>
  <si>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</si>
  <si>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</si>
  <si>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</si>
  <si>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</si>
  <si>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</si>
  <si>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</si>
  <si>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</si>
  <si>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</si>
  <si>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</si>
  <si>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</si>
  <si>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</si>
  <si>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</si>
  <si>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</si>
  <si>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</si>
  <si>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</si>
  <si>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</si>
  <si>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</si>
  <si>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</si>
  <si>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</si>
  <si>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</si>
  <si>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</si>
  <si>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</si>
  <si>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</si>
  <si>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</si>
  <si>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</si>
  <si>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</si>
  <si>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</si>
  <si>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</si>
  <si>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</si>
  <si>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</si>
  <si>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</si>
  <si>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</si>
  <si>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</si>
  <si>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</si>
  <si>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</si>
  <si>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</si>
  <si>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</si>
  <si>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</si>
  <si>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</si>
  <si>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</si>
  <si>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</si>
  <si>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</si>
  <si>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</si>
  <si>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</si>
  <si>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</si>
  <si>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</si>
  <si>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</si>
  <si>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</si>
  <si>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</si>
  <si>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</si>
  <si>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</si>
  <si>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</si>
  <si>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</si>
  <si>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</si>
  <si>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</si>
  <si>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</si>
  <si>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</si>
  <si>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</si>
  <si>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</si>
  <si>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</si>
  <si>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</si>
  <si>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</si>
  <si>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</si>
  <si>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</si>
  <si>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</si>
  <si>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</si>
  <si>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</si>
  <si>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</si>
  <si>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</si>
  <si>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</si>
  <si>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</si>
  <si>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</si>
  <si>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</si>
  <si>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</si>
  <si>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</si>
  <si>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</si>
  <si>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</si>
  <si>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</si>
  <si>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</si>
  <si>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</si>
  <si>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</si>
  <si>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</si>
  <si>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</si>
  <si>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</si>
  <si>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</si>
  <si>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</si>
  <si>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</si>
  <si>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</si>
  <si>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</si>
  <si>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</si>
  <si>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</si>
  <si>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</si>
  <si>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</si>
  <si>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</si>
  <si>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</si>
  <si>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</si>
  <si>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</si>
  <si>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</si>
  <si>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</si>
  <si>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</si>
  <si>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</si>
  <si>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</si>
  <si>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</si>
  <si>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</si>
  <si>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</si>
  <si>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</si>
  <si>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</si>
  <si>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</si>
  <si>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</si>
  <si>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</si>
  <si>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</si>
  <si>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</si>
  <si>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</si>
  <si>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</si>
  <si>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</si>
  <si>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</si>
  <si>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</si>
  <si>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</si>
  <si>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</si>
  <si>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</si>
  <si>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</si>
  <si>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</si>
  <si>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</si>
  <si>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</si>
  <si>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</si>
  <si>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</si>
  <si>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</si>
  <si>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</si>
  <si>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</si>
  <si>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</si>
  <si>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</si>
  <si>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</si>
  <si>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</si>
  <si>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</si>
  <si>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</si>
  <si>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</si>
  <si>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</si>
  <si>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</si>
  <si>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</si>
  <si>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</si>
  <si>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</si>
  <si>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</si>
  <si>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</si>
  <si>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</si>
  <si>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</si>
  <si>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</si>
  <si>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</si>
  <si>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</si>
  <si>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</si>
  <si>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</si>
  <si>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</si>
  <si>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</si>
  <si>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</si>
  <si>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</si>
  <si>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</si>
  <si>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</si>
  <si>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</si>
  <si>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</si>
  <si>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</si>
  <si>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</si>
  <si>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</si>
  <si>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</si>
  <si>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</si>
  <si>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</si>
  <si>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</si>
  <si>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</si>
  <si>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</si>
  <si>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</si>
  <si>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</si>
  <si>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</si>
  <si>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</si>
  <si>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</si>
  <si>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</si>
  <si>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</si>
  <si>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</si>
  <si>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</si>
  <si>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</si>
  <si>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</si>
  <si>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</si>
  <si>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</si>
  <si>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</si>
  <si>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</si>
  <si>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</si>
  <si>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</si>
  <si>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</si>
  <si>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</si>
  <si>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</si>
  <si>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</si>
  <si>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</si>
  <si>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</si>
  <si>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</si>
  <si>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</si>
  <si>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</si>
  <si>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</si>
  <si>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</si>
  <si>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</si>
  <si>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</si>
  <si>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</si>
  <si>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</si>
  <si>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</si>
  <si>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</si>
  <si>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</si>
  <si>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</si>
  <si>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</si>
  <si>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</si>
  <si>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</si>
  <si>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</si>
  <si>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</si>
  <si>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</si>
  <si>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</si>
  <si>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</si>
  <si>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</si>
  <si>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</si>
  <si>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</si>
  <si>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</si>
  <si>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</si>
  <si>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</si>
  <si>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</si>
  <si>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</si>
  <si>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</si>
  <si>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</si>
  <si>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</si>
  <si>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</si>
  <si>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</si>
  <si>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</si>
  <si>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</si>
  <si>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</si>
  <si>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</si>
  <si>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</si>
  <si>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</si>
  <si>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</si>
  <si>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</si>
  <si>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</si>
  <si>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</si>
  <si>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</si>
  <si>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</si>
  <si>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</si>
  <si>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</si>
  <si>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</si>
  <si>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</si>
  <si>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</si>
  <si>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</si>
  <si>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</si>
  <si>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</si>
  <si>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</si>
  <si>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</si>
  <si>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</si>
  <si>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</si>
  <si>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</si>
  <si>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</si>
  <si>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</si>
  <si>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</si>
  <si>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</si>
  <si>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</si>
  <si>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</si>
  <si>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</si>
  <si>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</si>
  <si>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</si>
  <si>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</si>
  <si>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</si>
  <si>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</si>
  <si>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</si>
  <si>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</si>
  <si>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</si>
  <si>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</si>
  <si>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</si>
  <si>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</si>
  <si>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</si>
  <si>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</si>
  <si>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</si>
  <si>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</si>
  <si>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</si>
  <si>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</si>
  <si>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</si>
  <si>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</si>
  <si>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</si>
  <si>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</si>
  <si>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</si>
  <si>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</si>
  <si>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</si>
  <si>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</si>
  <si>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</si>
  <si>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</si>
  <si>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</si>
  <si>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</si>
  <si>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</si>
  <si>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</si>
  <si>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</si>
  <si>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</si>
  <si>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</si>
  <si>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</si>
  <si>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</si>
  <si>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</si>
  <si>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</si>
  <si>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</si>
  <si>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</si>
  <si>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</si>
  <si>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</si>
  <si>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</si>
  <si>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</si>
  <si>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</si>
  <si>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</si>
  <si>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</si>
  <si>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</si>
  <si>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</si>
  <si>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</si>
  <si>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</si>
  <si>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</si>
  <si>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</si>
  <si>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</si>
  <si>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</si>
  <si>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</si>
  <si>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</si>
  <si>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</si>
  <si>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</si>
  <si>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</si>
  <si>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</si>
  <si>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</si>
  <si>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</si>
  <si>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</si>
  <si>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</si>
  <si>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</si>
  <si>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</si>
  <si>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</si>
  <si>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</si>
  <si>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</si>
  <si>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</si>
  <si>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</si>
  <si>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</si>
  <si>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</si>
  <si>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</si>
  <si>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</si>
  <si>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</si>
  <si>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</si>
  <si>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</si>
  <si>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</si>
  <si>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</si>
  <si>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</si>
  <si>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</si>
  <si>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</si>
  <si>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</si>
  <si>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</si>
  <si>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</si>
  <si>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</si>
  <si>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</si>
  <si>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</si>
  <si>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</si>
  <si>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</si>
  <si>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</si>
  <si>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</si>
  <si>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</si>
  <si>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</si>
  <si>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</si>
  <si>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</si>
  <si>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</si>
  <si>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</si>
  <si>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</si>
  <si>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</si>
  <si>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</si>
  <si>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</si>
  <si>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</si>
  <si>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</si>
  <si>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</si>
  <si>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</si>
  <si>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</si>
  <si>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</si>
  <si>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</si>
  <si>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</si>
  <si>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</si>
  <si>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</si>
  <si>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</si>
  <si>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</si>
  <si>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</si>
  <si>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</si>
  <si>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</si>
  <si>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</si>
  <si>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</si>
  <si>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</si>
  <si>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</si>
  <si>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</si>
  <si>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</si>
  <si>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</si>
  <si>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</si>
  <si>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</si>
  <si>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</si>
  <si>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</si>
  <si>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</si>
  <si>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</si>
  <si>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</si>
  <si>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</si>
  <si>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</si>
  <si>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</si>
  <si>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</si>
  <si>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</si>
  <si>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</si>
  <si>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</si>
  <si>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</si>
  <si>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</si>
  <si>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</si>
  <si>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</si>
  <si>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</si>
  <si>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</si>
  <si>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</si>
  <si>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</si>
  <si>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</si>
  <si>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</si>
  <si>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</si>
  <si>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</si>
  <si>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</si>
  <si>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</si>
  <si>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</si>
  <si>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</si>
  <si>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</si>
  <si>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</si>
  <si>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</si>
  <si>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</si>
  <si>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</si>
  <si>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</si>
  <si>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</si>
  <si>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</si>
  <si>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</si>
  <si>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</si>
  <si>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</si>
  <si>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</si>
  <si>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</si>
  <si>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</si>
  <si>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</si>
  <si>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</si>
  <si>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</si>
  <si>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</si>
  <si>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</si>
  <si>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</si>
  <si>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</si>
  <si>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</si>
  <si>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</si>
  <si>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</si>
  <si>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</si>
  <si>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</si>
  <si>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</si>
  <si>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</si>
  <si>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</si>
  <si>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</si>
  <si>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</si>
  <si>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</si>
  <si>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</si>
  <si>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</si>
  <si>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</si>
  <si>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</si>
  <si>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</si>
  <si>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</si>
  <si>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</si>
  <si>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</si>
  <si>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</si>
  <si>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</si>
  <si>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</si>
  <si>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</si>
  <si>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</si>
  <si>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</si>
  <si>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</si>
  <si>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</si>
  <si>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</si>
  <si>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</si>
  <si>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</si>
  <si>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</si>
  <si>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</si>
  <si>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</si>
  <si>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</si>
  <si>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</si>
  <si>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</si>
  <si>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</si>
  <si>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</si>
  <si>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</si>
  <si>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</si>
  <si>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</si>
  <si>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</si>
  <si>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</si>
  <si>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</si>
  <si>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</si>
  <si>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</si>
  <si>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</si>
  <si>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</si>
  <si>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</si>
  <si>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</si>
  <si>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</si>
  <si>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</si>
  <si>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</si>
  <si>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</si>
  <si>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</si>
  <si>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</si>
  <si>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</si>
  <si>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</si>
  <si>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</si>
  <si>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</si>
  <si>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</si>
  <si>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</si>
  <si>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</si>
  <si>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</si>
  <si>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</si>
  <si>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</si>
  <si>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</si>
  <si>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</si>
  <si>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</si>
  <si>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</si>
  <si>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</si>
  <si>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</si>
  <si>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</si>
  <si>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</si>
  <si>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</si>
  <si>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</si>
  <si>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</si>
  <si>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</si>
  <si>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</si>
  <si>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</si>
  <si>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</si>
  <si>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</si>
  <si>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</si>
  <si>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</si>
  <si>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</si>
  <si>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</si>
  <si>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</si>
  <si>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</si>
  <si>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</si>
  <si>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</si>
  <si>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</si>
  <si>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</si>
  <si>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</si>
  <si>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</si>
  <si>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</si>
  <si>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</si>
  <si>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</si>
  <si>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</si>
  <si>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</si>
  <si>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</si>
  <si>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</si>
  <si>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</si>
  <si>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</si>
  <si>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</si>
  <si>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</si>
  <si>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</si>
  <si>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</si>
  <si>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</si>
  <si>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</si>
  <si>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</si>
  <si>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</si>
  <si>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</si>
  <si>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</si>
  <si>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</si>
  <si>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</si>
  <si>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</si>
  <si>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</si>
  <si>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</si>
  <si>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</si>
  <si>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</si>
  <si>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</si>
  <si>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</si>
  <si>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</si>
  <si>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</si>
  <si>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</si>
  <si>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</si>
  <si>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</si>
  <si>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</si>
  <si>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</si>
  <si>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</si>
  <si>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</si>
  <si>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</si>
  <si>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</si>
  <si>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</si>
  <si>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</si>
  <si>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</si>
  <si>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</si>
  <si>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</si>
  <si>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</si>
  <si>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</si>
  <si>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</si>
  <si>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</si>
  <si>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</si>
  <si>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</si>
  <si>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</si>
  <si>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</si>
  <si>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</si>
  <si>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</si>
  <si>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</si>
  <si>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</si>
  <si>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</si>
  <si>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</si>
  <si>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</si>
  <si>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</si>
  <si>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</si>
  <si>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</si>
  <si>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</si>
  <si>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</si>
  <si>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</si>
  <si>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</si>
  <si>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</si>
  <si>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</si>
  <si>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</si>
  <si>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</si>
  <si>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</si>
  <si>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</si>
  <si>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</si>
  <si>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</si>
  <si>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</si>
  <si>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</si>
  <si>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</si>
  <si>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</si>
  <si>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</si>
  <si>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</si>
  <si>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</si>
  <si>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</si>
  <si>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</si>
  <si>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</si>
  <si>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</si>
  <si>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</si>
  <si>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</si>
  <si>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</si>
  <si>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</si>
  <si>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</si>
  <si>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</si>
  <si>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</si>
  <si>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</si>
  <si>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</si>
  <si>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</si>
  <si>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</si>
  <si>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</si>
  <si>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</si>
  <si>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</si>
  <si>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</si>
  <si>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</si>
  <si>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</si>
  <si>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</si>
  <si>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</si>
  <si>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</si>
  <si>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</si>
  <si>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</si>
  <si>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</si>
  <si>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</si>
  <si>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</si>
  <si>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</si>
  <si>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</si>
  <si>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</si>
  <si>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</si>
  <si>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</si>
  <si>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</si>
  <si>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</si>
  <si>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</si>
  <si>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</si>
  <si>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</si>
  <si>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</si>
  <si>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</si>
  <si>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</si>
  <si>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</si>
  <si>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</si>
  <si>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</si>
  <si>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</si>
  <si>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</si>
  <si>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</si>
  <si>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</si>
  <si>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</si>
  <si>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</si>
  <si>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</si>
  <si>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</si>
  <si>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</si>
  <si>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</si>
  <si>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</si>
  <si>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</si>
  <si>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</si>
  <si>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</si>
  <si>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</si>
  <si>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</si>
  <si>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</si>
  <si>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</si>
  <si>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</si>
  <si>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</si>
  <si>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</si>
  <si>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</si>
  <si>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</si>
  <si>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</si>
  <si>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</si>
  <si>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</si>
  <si>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</si>
  <si>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</si>
  <si>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</si>
  <si>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</si>
  <si>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</si>
  <si>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</si>
  <si>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</si>
  <si>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</si>
  <si>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</si>
  <si>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</si>
  <si>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</si>
  <si>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</si>
  <si>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</si>
  <si>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</si>
  <si>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</si>
  <si>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</si>
  <si>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</si>
  <si>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</si>
  <si>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</si>
  <si>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</si>
  <si>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</si>
  <si>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</si>
  <si>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</si>
  <si>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</si>
  <si>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</si>
  <si>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</si>
  <si>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</si>
  <si>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</si>
  <si>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</si>
  <si>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</si>
  <si>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</si>
  <si>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</si>
  <si>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</si>
  <si>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</si>
  <si>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</si>
  <si>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</si>
  <si>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</si>
  <si>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</si>
  <si>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</si>
  <si>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</si>
  <si>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</si>
  <si>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</si>
  <si>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</si>
  <si>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</si>
  <si>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</si>
  <si>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</si>
  <si>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</si>
  <si>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</si>
  <si>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</si>
  <si>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</si>
  <si>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</si>
  <si>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</si>
  <si>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</si>
  <si>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</si>
  <si>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</si>
  <si>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</si>
  <si>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</si>
  <si>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</si>
  <si>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</si>
  <si>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</si>
  <si>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</si>
  <si>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</si>
  <si>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</si>
  <si>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</si>
  <si>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</si>
  <si>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</si>
  <si>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</si>
  <si>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</si>
  <si>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</si>
  <si>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</si>
  <si>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</si>
  <si>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</si>
  <si>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</si>
  <si>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</si>
  <si>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</si>
  <si>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</si>
  <si>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</si>
  <si>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</si>
  <si>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</si>
  <si>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</si>
  <si>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</si>
  <si>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</si>
  <si>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</si>
  <si>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</si>
  <si>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</si>
  <si>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</si>
  <si>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</si>
  <si>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</si>
  <si>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</si>
  <si>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</si>
  <si>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</si>
  <si>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</si>
  <si>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</si>
  <si>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</si>
  <si>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</si>
  <si>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</si>
  <si>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</si>
  <si>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</si>
  <si>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</si>
  <si>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</si>
  <si>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</si>
  <si>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</si>
  <si>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</si>
  <si>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</si>
  <si>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</si>
  <si>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</si>
  <si>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</si>
  <si>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</si>
  <si>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</si>
  <si>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</si>
  <si>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</si>
  <si>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</si>
  <si>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</si>
  <si>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</si>
  <si>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</si>
  <si>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</si>
  <si>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</si>
  <si>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</si>
  <si>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</si>
  <si>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</si>
  <si>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</si>
  <si>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</si>
  <si>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</si>
  <si>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</si>
  <si>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</si>
  <si>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</si>
  <si>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</si>
  <si>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</si>
  <si>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</si>
  <si>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</si>
  <si>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</si>
  <si>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</si>
  <si>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</si>
  <si>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</si>
  <si>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</si>
  <si>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</si>
  <si>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</si>
  <si>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</si>
  <si>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</si>
  <si>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</si>
  <si>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</si>
  <si>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</si>
  <si>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</si>
  <si>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</si>
  <si>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</si>
  <si>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</si>
  <si>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</si>
  <si>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</si>
  <si>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</si>
  <si>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</si>
  <si>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</si>
  <si>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</si>
  <si>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</si>
  <si>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</si>
  <si>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</si>
  <si>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</si>
  <si>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</si>
  <si>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</si>
  <si>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</si>
  <si>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</si>
  <si>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</si>
  <si>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</si>
  <si>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</si>
  <si>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</si>
  <si>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</si>
  <si>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</si>
  <si>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</si>
  <si>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</si>
  <si>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</si>
  <si>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</si>
  <si>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</si>
  <si>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</si>
  <si>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</si>
  <si>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</si>
  <si>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</si>
  <si>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</si>
  <si>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</si>
  <si>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</si>
  <si>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</si>
  <si>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</si>
  <si>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</si>
  <si>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</si>
  <si>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</si>
  <si>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</si>
  <si>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</si>
  <si>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</si>
  <si>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</si>
  <si>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</si>
  <si>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</si>
  <si>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</si>
  <si>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</si>
  <si>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</si>
  <si>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</si>
  <si>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</si>
  <si>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</si>
  <si>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</si>
  <si>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</si>
  <si>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</si>
  <si>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</si>
  <si>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</si>
  <si>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</si>
  <si>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</si>
  <si>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</si>
  <si>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</si>
  <si>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</si>
  <si>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</si>
  <si>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</si>
  <si>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</si>
  <si>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</si>
  <si>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</si>
  <si>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</si>
  <si>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</si>
  <si>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</si>
  <si>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</si>
  <si>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</si>
  <si>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</si>
  <si>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</si>
  <si>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</si>
  <si>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</si>
  <si>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</si>
  <si>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</si>
  <si>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</si>
  <si>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</si>
  <si>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</si>
  <si>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</si>
  <si>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</si>
  <si>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</si>
  <si>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</si>
  <si>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</si>
  <si>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</si>
  <si>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</si>
  <si>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</si>
  <si>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</si>
  <si>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</si>
  <si>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</si>
  <si>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</si>
  <si>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</si>
  <si>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</si>
  <si>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</si>
  <si>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</si>
  <si>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</si>
  <si>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</si>
  <si>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</si>
  <si>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</si>
  <si>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</si>
  <si>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</si>
  <si>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</si>
  <si>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</si>
  <si>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</si>
  <si>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</si>
  <si>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</si>
  <si>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</si>
  <si>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</si>
  <si>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</si>
  <si>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</si>
  <si>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</si>
  <si>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</si>
  <si>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</si>
  <si>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</si>
  <si>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</si>
  <si>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</si>
  <si>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</si>
  <si>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</si>
  <si>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</si>
  <si>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</si>
  <si>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</si>
  <si>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</si>
  <si>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</si>
  <si>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</si>
  <si>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</si>
  <si>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</si>
  <si>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</si>
  <si>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</si>
  <si>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</si>
  <si>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</si>
  <si>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</si>
  <si>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</si>
  <si>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</si>
  <si>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</si>
  <si>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</si>
  <si>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</si>
  <si>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</si>
  <si>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</si>
  <si>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</si>
  <si>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</si>
  <si>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</si>
  <si>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</si>
  <si>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</si>
  <si>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</si>
  <si>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</si>
  <si>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</si>
  <si>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</si>
  <si>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</si>
  <si>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</si>
  <si>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</si>
  <si>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</si>
  <si>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</si>
  <si>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</si>
  <si>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</si>
  <si>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</si>
  <si>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</si>
  <si>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</si>
  <si>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</si>
  <si>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</si>
  <si>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</si>
  <si>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</si>
  <si>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</si>
  <si>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</si>
  <si>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</si>
  <si>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</si>
  <si>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</si>
  <si>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</si>
  <si>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</si>
  <si>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</si>
  <si>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</si>
  <si>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</si>
  <si>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</si>
  <si>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</si>
  <si>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</si>
  <si>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</si>
  <si>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</si>
  <si>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</si>
  <si>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</si>
  <si>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</si>
  <si>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</si>
  <si>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</si>
  <si>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</si>
  <si>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</si>
  <si>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</si>
  <si>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</si>
  <si>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</si>
  <si>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</si>
  <si>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</si>
  <si>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</si>
  <si>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</si>
  <si>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</si>
  <si>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</si>
  <si>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</si>
  <si>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</si>
  <si>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</si>
  <si>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</si>
  <si>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</si>
  <si>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</si>
  <si>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</si>
  <si>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</si>
  <si>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</si>
  <si>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</si>
  <si>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</si>
  <si>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</si>
  <si>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</si>
  <si>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</si>
  <si>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</si>
  <si>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</si>
  <si>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</si>
  <si>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</si>
  <si>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</si>
  <si>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</si>
  <si>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</si>
  <si>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</si>
  <si>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</si>
  <si>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</si>
  <si>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</si>
  <si>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</si>
  <si>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</si>
  <si>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</si>
  <si>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</si>
  <si>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</si>
  <si>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</si>
  <si>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</si>
  <si>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</si>
  <si>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</si>
  <si>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</si>
  <si>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</si>
  <si>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</si>
  <si>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</si>
  <si>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</si>
  <si>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</si>
  <si>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</si>
  <si>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</si>
  <si>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</si>
  <si>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</si>
  <si>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</si>
  <si>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</si>
  <si>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</si>
  <si>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</si>
  <si>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</si>
  <si>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Sutter Creek Bowers Road LP</t>
  </si>
  <si>
    <t>Amador Permanent Supportive Housing</t>
  </si>
  <si>
    <t xml:space="preserve">Daniel J. Johnson </t>
  </si>
  <si>
    <t>Member</t>
  </si>
  <si>
    <t>City of Sutter Creek</t>
  </si>
  <si>
    <t xml:space="preserve">Tom Dubois </t>
  </si>
  <si>
    <t>18 Main St</t>
  </si>
  <si>
    <t>Sutter Creek</t>
  </si>
  <si>
    <t>tdubois@cityofsuttercreek.org</t>
  </si>
  <si>
    <t>946 Part 2 Way</t>
  </si>
  <si>
    <t>Bowers Road at Valley View Way</t>
  </si>
  <si>
    <t>044-020-057</t>
  </si>
  <si>
    <t>5251 Ericson Way</t>
  </si>
  <si>
    <t xml:space="preserve">Arcata </t>
  </si>
  <si>
    <t>CA</t>
  </si>
  <si>
    <t>Hailey Wilson</t>
  </si>
  <si>
    <t>hwilson@danco-group.com</t>
  </si>
  <si>
    <t>Johnson &amp; Johnson Investments, LLC</t>
  </si>
  <si>
    <t xml:space="preserve">Chris Dart </t>
  </si>
  <si>
    <t>cdart@danco-group.com</t>
  </si>
  <si>
    <t>Administrative GP</t>
  </si>
  <si>
    <t>Community Revitalization and Development Corporation</t>
  </si>
  <si>
    <t>1918 West St.</t>
  </si>
  <si>
    <t>Managing GP</t>
  </si>
  <si>
    <t>Redding</t>
  </si>
  <si>
    <t>David Rutledge</t>
  </si>
  <si>
    <t>david@crdc-housing.org</t>
  </si>
  <si>
    <t>Danco Communities</t>
  </si>
  <si>
    <t>Arcata</t>
  </si>
  <si>
    <t>cdart@danco-gorup.com</t>
  </si>
  <si>
    <t>Developer</t>
  </si>
  <si>
    <t>Arcata, CA 95521</t>
  </si>
  <si>
    <t>Chris Dart</t>
  </si>
  <si>
    <t>707-825-1531</t>
  </si>
  <si>
    <t>707-822-9596</t>
  </si>
  <si>
    <t xml:space="preserve">Odu &amp; Associates </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</si>
  <si>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</si>
  <si>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</si>
  <si>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</si>
  <si>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</si>
  <si>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</si>
  <si>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</si>
  <si>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</si>
  <si>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</si>
  <si>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</si>
  <si>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</si>
  <si>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</si>
  <si>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K. Boodjeh Architects</t>
  </si>
  <si>
    <t>PO Box 881</t>
  </si>
  <si>
    <t>Kash Boodjeh</t>
  </si>
  <si>
    <t>(707) 798-6107</t>
  </si>
  <si>
    <t>kash@kboodjeh.com</t>
  </si>
  <si>
    <t>Danco Builders Northwest</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</si>
  <si>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</si>
  <si>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</si>
  <si>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</si>
  <si>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</si>
  <si>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</si>
  <si>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</si>
  <si>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</si>
  <si>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</si>
  <si>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</si>
  <si>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</si>
  <si>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</si>
  <si>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</si>
  <si>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</si>
  <si>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</si>
  <si>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</si>
  <si>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</si>
  <si>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</si>
  <si>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</si>
  <si>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</si>
  <si>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</si>
  <si>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</si>
  <si>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</si>
  <si>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Ninevah, LLC</t>
  </si>
  <si>
    <t>Alvert Issaco</t>
  </si>
  <si>
    <t>One or Two Story Garden</t>
  </si>
  <si>
    <t>Chronic</t>
  </si>
  <si>
    <t xml:space="preserve">24-multple family/rh residential high density </t>
  </si>
  <si>
    <t xml:space="preserve">Citi Bank Construction Loan </t>
  </si>
  <si>
    <t>Boston Financial Equity</t>
  </si>
  <si>
    <t>Two Embarcadero Center, 17th Floor</t>
  </si>
  <si>
    <t>San Francisco, CA 94111</t>
  </si>
  <si>
    <t>Jacob St. Onge</t>
  </si>
  <si>
    <t>415-658-3118</t>
  </si>
  <si>
    <t>Construction Loan</t>
  </si>
  <si>
    <t>Ray Faerber</t>
  </si>
  <si>
    <t>Equity</t>
  </si>
  <si>
    <t>NPLH Capital Funds</t>
  </si>
  <si>
    <t>NPLH COSR Funds</t>
  </si>
  <si>
    <t>Solar Tax Credit Equity</t>
  </si>
  <si>
    <t>HOME Funds</t>
  </si>
  <si>
    <t>2020 W. El Camino Avenue, Suite 6</t>
  </si>
  <si>
    <t>Sacramento, CA 94252-2054</t>
  </si>
  <si>
    <t>(916) 263-2771</t>
  </si>
  <si>
    <t>Soft</t>
  </si>
  <si>
    <t xml:space="preserve">Independence High School </t>
  </si>
  <si>
    <t>525 Independence DR suite a</t>
  </si>
  <si>
    <t>Sutter Creek, 95685</t>
  </si>
  <si>
    <t>Jared Critchfield</t>
  </si>
  <si>
    <t>https://independencehs.amadorcoe.org/</t>
  </si>
  <si>
    <t>0.17 Miles</t>
  </si>
  <si>
    <t>Sutter Hill Transit Center</t>
  </si>
  <si>
    <t>115 Valley View Way</t>
  </si>
  <si>
    <t>https://amadortransit.com/sutter-hill-transit-center/</t>
  </si>
  <si>
    <t>0.08 Miles</t>
  </si>
  <si>
    <t>(206) 267-9395</t>
  </si>
  <si>
    <t>Bryson Park</t>
  </si>
  <si>
    <t>Bryson Drive</t>
  </si>
  <si>
    <t>(209) 223-6349</t>
  </si>
  <si>
    <t>https://amadorrec.com/</t>
  </si>
  <si>
    <t>0.33 Miles</t>
  </si>
  <si>
    <t>Safeway</t>
  </si>
  <si>
    <t>12110 Industry Blvd</t>
  </si>
  <si>
    <t>Jackson, 95642</t>
  </si>
  <si>
    <t>Helen Carver</t>
  </si>
  <si>
    <t>https://local.safeway.com/safeway/ca/jackson/12110-industry-blvd.html?utm_source=G&amp;utm_medium=Maps&amp;utm_campaign=G+Places</t>
  </si>
  <si>
    <t>0.84 Miles</t>
  </si>
  <si>
    <t>Walgreens</t>
  </si>
  <si>
    <t xml:space="preserve">475 CA-49 </t>
  </si>
  <si>
    <t>(209) 267-5128</t>
  </si>
  <si>
    <t>https://www.walgreens.com/locator/walgreens-475+state+highway+49-sutter+creek-ca-95685/id=12528</t>
  </si>
  <si>
    <t>0.20 Miles</t>
  </si>
  <si>
    <t xml:space="preserve">July </t>
  </si>
  <si>
    <t>40%/60%</t>
  </si>
  <si>
    <t>NPLH</t>
  </si>
  <si>
    <t>HOME</t>
  </si>
  <si>
    <t>CUAC</t>
  </si>
  <si>
    <t xml:space="preserve">California Utility Allowance Calculator </t>
  </si>
  <si>
    <t xml:space="preserve">NPLH </t>
  </si>
  <si>
    <t>Inspection Fees</t>
  </si>
  <si>
    <t xml:space="preserve">Borrower's Attorney </t>
  </si>
  <si>
    <t>NPLH COSR</t>
  </si>
  <si>
    <t>PG&amp;E Fees</t>
  </si>
  <si>
    <t>Sewer / Water / Expansion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</si>
</sst>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8"/>
      <color theme="3"/>
      <name val="Cambri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1227">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3" fillId="0" borderId="0"/>
    <xf numFmtId="0" fontId="99" fillId="0" borderId="0"/>
    <xf numFmtId="0" fontId="63" fillId="0" borderId="0"/>
    <xf numFmtId="0" fontId="63" fillId="0" borderId="0"/>
    <xf numFmtId="0" fontId="13"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3" fillId="0" borderId="0"/>
    <xf numFmtId="170" fontId="64" fillId="0" borderId="0"/>
    <xf numFmtId="0" fontId="86"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86" fillId="0" borderId="0"/>
    <xf numFmtId="0" fontId="86" fillId="0" borderId="0"/>
    <xf numFmtId="0" fontId="86" fillId="0" borderId="0"/>
    <xf numFmtId="0" fontId="86" fillId="0" borderId="0"/>
    <xf numFmtId="0" fontId="73" fillId="0" borderId="0"/>
    <xf numFmtId="0" fontId="63" fillId="0" borderId="0">
      <alignment vertical="top"/>
    </xf>
    <xf numFmtId="0" fontId="86" fillId="0" borderId="0"/>
    <xf numFmtId="0" fontId="86" fillId="0" borderId="0"/>
    <xf numFmtId="0" fontId="86" fillId="0" borderId="0"/>
    <xf numFmtId="0" fontId="86" fillId="0" borderId="0"/>
    <xf numFmtId="0" fontId="73" fillId="0" borderId="0"/>
    <xf numFmtId="0" fontId="13" fillId="0" borderId="0"/>
    <xf numFmtId="0" fontId="86" fillId="0" borderId="0"/>
    <xf numFmtId="0" fontId="13" fillId="0" borderId="0"/>
    <xf numFmtId="0" fontId="86" fillId="0" borderId="0"/>
    <xf numFmtId="0" fontId="86" fillId="0" borderId="0"/>
    <xf numFmtId="0" fontId="86" fillId="0" borderId="0"/>
    <xf numFmtId="0" fontId="86"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63" fillId="0" borderId="0">
      <alignment vertical="top"/>
    </xf>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9"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4"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14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02" fillId="0" borderId="0" applyNumberForma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996">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5"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6"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4"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0" fontId="108" fillId="0" borderId="0" xfId="0" applyFont="1" applyAlignment="1">
      <alignment horizontal="left" vertical="top" wrapText="1"/>
    </xf>
    <xf numFmtId="0" fontId="4"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vertical="top" wrapText="1"/>
    </xf>
    <xf numFmtId="0" fontId="5" fillId="0" borderId="0" xfId="245" applyAlignment="1">
      <alignment horizontal="left" vertical="top"/>
    </xf>
    <xf numFmtId="0" fontId="4" fillId="0" borderId="0" xfId="0" applyFont="1" applyAlignment="1">
      <alignment horizontal="left" wrapText="1"/>
    </xf>
    <xf numFmtId="0" fontId="13" fillId="0" borderId="0" xfId="0" applyFont="1" applyAlignment="1">
      <alignment horizontal="left" wrapText="1"/>
    </xf>
    <xf numFmtId="0" fontId="111"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4" fillId="7" borderId="3" xfId="766" applyFill="1" applyBorder="1" applyAlignment="1" applyProtection="1">
      <alignment horizontal="center"/>
      <protection locked="0"/>
    </xf>
    <xf numFmtId="0" fontId="4" fillId="7" borderId="4" xfId="766" applyFill="1" applyBorder="1" applyAlignment="1" applyProtection="1">
      <alignment horizontal="center"/>
      <protection locked="0"/>
    </xf>
    <xf numFmtId="0" fontId="4" fillId="7" borderId="8" xfId="766" applyFill="1" applyBorder="1" applyAlignment="1" applyProtection="1">
      <alignment horizontal="center"/>
      <protection locked="0"/>
    </xf>
    <xf numFmtId="1" fontId="4" fillId="7" borderId="3" xfId="766" applyNumberFormat="1" applyFill="1" applyBorder="1" applyAlignment="1" applyProtection="1">
      <alignment horizontal="center"/>
      <protection locked="0"/>
    </xf>
    <xf numFmtId="1" fontId="4" fillId="7" borderId="4" xfId="766" applyNumberFormat="1" applyFill="1" applyBorder="1" applyAlignment="1" applyProtection="1">
      <alignment horizontal="center"/>
      <protection locked="0"/>
    </xf>
    <xf numFmtId="1" fontId="4" fillId="7" borderId="8" xfId="766" applyNumberFormat="1" applyFill="1" applyBorder="1" applyAlignment="1" applyProtection="1">
      <alignment horizontal="center"/>
      <protection locked="0"/>
    </xf>
    <xf numFmtId="169" fontId="4" fillId="7" borderId="3" xfId="766" applyNumberFormat="1" applyFill="1" applyBorder="1" applyAlignment="1" applyProtection="1">
      <alignment horizontal="center"/>
      <protection locked="0"/>
    </xf>
    <xf numFmtId="169" fontId="4" fillId="7" borderId="4" xfId="766" applyNumberFormat="1" applyFill="1" applyBorder="1" applyAlignment="1" applyProtection="1">
      <alignment horizontal="center"/>
      <protection locked="0"/>
    </xf>
    <xf numFmtId="169" fontId="4" fillId="7" borderId="8" xfId="766" applyNumberFormat="1" applyFill="1" applyBorder="1" applyAlignment="1" applyProtection="1">
      <alignment horizontal="center"/>
      <protection locked="0"/>
    </xf>
    <xf numFmtId="3" fontId="4" fillId="51" borderId="3" xfId="766" applyNumberFormat="1" applyFill="1" applyBorder="1" applyAlignment="1" applyProtection="1">
      <alignment horizontal="center"/>
      <protection locked="0"/>
    </xf>
    <xf numFmtId="3" fontId="4" fillId="51" borderId="4" xfId="766" applyNumberFormat="1" applyFill="1" applyBorder="1" applyAlignment="1" applyProtection="1">
      <alignment horizontal="center"/>
      <protection locked="0"/>
    </xf>
    <xf numFmtId="3" fontId="4" fillId="51" borderId="8" xfId="766" applyNumberFormat="1" applyFill="1" applyBorder="1" applyAlignment="1" applyProtection="1">
      <alignment horizontal="center"/>
      <protection locked="0"/>
    </xf>
    <xf numFmtId="0" fontId="4" fillId="7" borderId="9" xfId="766" applyFill="1" applyBorder="1" applyAlignment="1" applyProtection="1">
      <alignment horizontal="center"/>
      <protection locked="0"/>
    </xf>
    <xf numFmtId="0" fontId="4" fillId="7" borderId="5" xfId="766" applyFill="1" applyBorder="1" applyAlignment="1" applyProtection="1">
      <alignment horizontal="center"/>
      <protection locked="0"/>
    </xf>
    <xf numFmtId="9" fontId="4" fillId="7" borderId="3" xfId="766" applyNumberFormat="1" applyFill="1" applyBorder="1" applyAlignment="1" applyProtection="1">
      <alignment horizontal="center"/>
      <protection locked="0"/>
    </xf>
    <xf numFmtId="9" fontId="4" fillId="7" borderId="4" xfId="766" applyNumberFormat="1" applyFill="1" applyBorder="1" applyAlignment="1" applyProtection="1">
      <alignment horizontal="center"/>
      <protection locked="0"/>
    </xf>
    <xf numFmtId="9" fontId="4" fillId="7" borderId="8" xfId="766" applyNumberFormat="1" applyFill="1" applyBorder="1" applyAlignment="1" applyProtection="1">
      <alignment horizontal="center"/>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0" fillId="7" borderId="5" xfId="0" applyFill="1" applyBorder="1" applyAlignment="1" applyProtection="1">
      <alignment horizontal="center"/>
      <protection locked="0"/>
    </xf>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0" borderId="5" xfId="0" applyBorder="1" applyAlignment="1">
      <alignment horizontal="left"/>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4" fillId="0" borderId="3" xfId="0" applyFont="1" applyBorder="1"/>
    <xf numFmtId="0" fontId="4" fillId="0" borderId="4" xfId="0" applyFont="1" applyBorder="1"/>
    <xf numFmtId="0" fontId="4" fillId="0" borderId="8" xfId="0" applyFont="1" applyBorder="1"/>
    <xf numFmtId="0" fontId="47" fillId="0" borderId="3" xfId="0" applyFont="1" applyBorder="1"/>
    <xf numFmtId="0" fontId="47" fillId="0" borderId="4" xfId="0" applyFont="1" applyBorder="1"/>
    <xf numFmtId="0" fontId="47" fillId="0" borderId="8" xfId="0" applyFont="1" applyBorder="1"/>
    <xf numFmtId="0" fontId="13" fillId="0" borderId="3" xfId="0" applyFont="1" applyBorder="1"/>
    <xf numFmtId="0" fontId="13" fillId="0" borderId="4" xfId="0" applyFont="1" applyBorder="1"/>
    <xf numFmtId="0" fontId="13" fillId="0" borderId="8" xfId="0" applyFont="1" applyBorder="1"/>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0" borderId="12" xfId="0" applyNumberFormat="1" applyBorder="1" applyAlignment="1">
      <alignment horizontal="center"/>
    </xf>
    <xf numFmtId="0" fontId="10"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1"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1" fillId="0" borderId="5" xfId="0" applyFont="1" applyBorder="1" applyAlignment="1">
      <alignment horizontal="right"/>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13" fillId="7" borderId="9" xfId="0" applyFont="1" applyFill="1" applyBorder="1" applyAlignment="1" applyProtection="1">
      <alignment horizontal="center"/>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4"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3" fillId="0" borderId="12" xfId="0" applyNumberFormat="1" applyFont="1" applyBorder="1" applyAlignment="1">
      <alignment horizontal="center"/>
    </xf>
    <xf numFmtId="169" fontId="13" fillId="0" borderId="3" xfId="0" applyNumberFormat="1" applyFont="1" applyBorder="1" applyAlignment="1">
      <alignment horizontal="left" vertical="top"/>
    </xf>
    <xf numFmtId="169" fontId="1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9" fontId="1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3" fillId="0" borderId="0" xfId="0" applyNumberFormat="1" applyFont="1" applyAlignment="1">
      <alignment horizontal="center"/>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3" fontId="1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24" fillId="7" borderId="5" xfId="0" applyFont="1" applyFill="1" applyBorder="1" applyAlignment="1" applyProtection="1">
      <alignment horizontal="left"/>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4" fillId="7" borderId="12" xfId="0" applyFont="1" applyFill="1" applyBorder="1" applyProtection="1">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4" fillId="7" borderId="8"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24" fillId="0" borderId="2" xfId="0" applyFont="1" applyBorder="1" applyAlignment="1">
      <alignment horizontal="center"/>
    </xf>
    <xf numFmtId="167" fontId="13" fillId="7" borderId="5" xfId="0" applyNumberFormat="1" applyFont="1" applyFill="1" applyBorder="1" applyAlignment="1" applyProtection="1">
      <alignment horizontal="left"/>
      <protection locked="0"/>
    </xf>
    <xf numFmtId="0" fontId="13" fillId="0" borderId="5" xfId="0" applyFont="1" applyBorder="1" applyAlignment="1">
      <alignment horizontal="left" wrapText="1"/>
    </xf>
    <xf numFmtId="169" fontId="13" fillId="0" borderId="5" xfId="0" applyNumberFormat="1" applyFont="1" applyBorder="1" applyAlignment="1">
      <alignment horizontal="center"/>
    </xf>
    <xf numFmtId="0" fontId="13" fillId="0" borderId="4" xfId="0" applyFont="1" applyBorder="1" applyAlignment="1" applyProtection="1">
      <alignment horizontal="left"/>
      <protection locked="0"/>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11"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 fillId="7" borderId="5" xfId="0" applyFont="1" applyFill="1" applyBorder="1" applyAlignment="1" applyProtection="1">
      <alignment horizontal="left" wrapText="1"/>
      <protection locked="0"/>
    </xf>
    <xf numFmtId="0" fontId="12" fillId="51" borderId="5" xfId="0" applyFont="1" applyFill="1" applyBorder="1" applyAlignment="1" applyProtection="1">
      <alignment horizontal="left"/>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0" fontId="137" fillId="0" borderId="0" xfId="0" applyFont="1" applyAlignment="1" applyProtection="1">
      <alignment horizontal="left" vertical="top" wrapText="1"/>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11" fillId="0" borderId="9" xfId="0" applyFont="1" applyBorder="1" applyAlignment="1">
      <alignment horizontal="right"/>
    </xf>
    <xf numFmtId="0" fontId="11" fillId="0" borderId="10" xfId="0"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7" borderId="5" xfId="245" applyFon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4" fillId="7" borderId="4"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1" fontId="0" fillId="7" borderId="4" xfId="0" applyNumberFormat="1" applyFill="1" applyBorder="1" applyAlignment="1" applyProtection="1">
      <alignment horizontal="center" vertical="top" wrapText="1"/>
      <protection locked="0"/>
    </xf>
    <xf numFmtId="9" fontId="12" fillId="0" borderId="12" xfId="0" applyNumberFormat="1" applyFont="1" applyBorder="1" applyAlignment="1">
      <alignment horizontal="center"/>
    </xf>
    <xf numFmtId="0" fontId="0" fillId="0" borderId="0" xfId="0" applyAlignment="1" applyProtection="1">
      <alignment horizontal="center"/>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0" borderId="12" xfId="0" applyFont="1" applyBorder="1" applyAlignment="1">
      <alignment horizontal="center" vertical="top" wrapText="1"/>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9" fontId="0" fillId="0" borderId="12" xfId="0" applyNumberFormat="1" applyBorder="1"/>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67" fontId="4" fillId="7" borderId="5" xfId="0" applyNumberFormat="1" applyFont="1" applyFill="1" applyBorder="1" applyAlignment="1" applyProtection="1">
      <alignment horizontal="left"/>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4" fontId="4" fillId="7" borderId="4" xfId="0" applyNumberFormat="1" applyFont="1" applyFill="1" applyBorder="1" applyAlignment="1" applyProtection="1">
      <alignment horizontal="right"/>
      <protection locked="0"/>
    </xf>
    <xf numFmtId="1" fontId="4" fillId="7" borderId="5"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179" fontId="4" fillId="7" borderId="4" xfId="0" applyNumberFormat="1" applyFont="1" applyFill="1" applyBorder="1" applyAlignment="1" applyProtection="1">
      <alignment horizontal="righ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3" fillId="0" borderId="5" xfId="0" applyFont="1" applyBorder="1" applyAlignment="1">
      <alignment horizontal="left"/>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0" borderId="0" xfId="546" applyAlignment="1">
      <alignment wrapText="1"/>
    </xf>
    <xf numFmtId="0" fontId="13" fillId="0" borderId="0" xfId="0" applyFont="1" applyAlignment="1">
      <alignment vertical="top" wrapText="1"/>
    </xf>
    <xf numFmtId="0" fontId="0" fillId="0" borderId="0" xfId="0" applyAlignment="1">
      <alignmen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0" fontId="13" fillId="0" borderId="12" xfId="0" applyFont="1" applyBorder="1" applyAlignment="1">
      <alignment horizontal="center"/>
    </xf>
    <xf numFmtId="0" fontId="0" fillId="7" borderId="4" xfId="0" applyFill="1" applyBorder="1" applyAlignment="1" applyProtection="1">
      <alignment horizontal="left" wrapText="1"/>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9" fontId="21" fillId="0" borderId="17" xfId="0" applyNumberFormat="1" applyFont="1" applyBorder="1" applyAlignment="1">
      <alignment horizontal="center"/>
    </xf>
    <xf numFmtId="0" fontId="21" fillId="0" borderId="17" xfId="0" applyFont="1" applyBorder="1" applyAlignment="1">
      <alignment horizontal="center"/>
    </xf>
    <xf numFmtId="166" fontId="12" fillId="0" borderId="12" xfId="0" applyNumberFormat="1" applyFont="1" applyBorder="1" applyAlignment="1">
      <alignment horizontal="center"/>
    </xf>
    <xf numFmtId="164" fontId="12" fillId="0" borderId="0" xfId="0" applyNumberFormat="1" applyFont="1" applyAlignment="1">
      <alignment horizontal="left" vertical="top" wrapText="1"/>
    </xf>
    <xf numFmtId="1" fontId="12" fillId="0" borderId="12"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25" xfId="0" applyNumberFormat="1" applyFont="1" applyBorder="1" applyAlignment="1">
      <alignment horizontal="center"/>
    </xf>
    <xf numFmtId="1" fontId="12" fillId="0" borderId="30" xfId="0" applyNumberFormat="1" applyFont="1" applyBorder="1" applyAlignment="1">
      <alignment horizontal="center"/>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2" fillId="7" borderId="53" xfId="0" applyFont="1"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left"/>
      <protection locked="0"/>
    </xf>
    <xf numFmtId="0" fontId="11" fillId="0" borderId="0" xfId="0" applyFont="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0" fontId="21" fillId="0" borderId="12" xfId="0" applyFont="1" applyBorder="1" applyAlignment="1">
      <alignment horizontal="center" vertical="center" wrapText="1"/>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1" fontId="12"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1" fillId="0" borderId="0" xfId="0" applyFont="1" applyAlignment="1">
      <alignment horizontal="right"/>
    </xf>
    <xf numFmtId="0" fontId="54" fillId="0" borderId="0" xfId="0" applyFont="1" applyAlignment="1">
      <alignment horizontal="left" vertical="top" wrapText="1"/>
    </xf>
    <xf numFmtId="0" fontId="12" fillId="0" borderId="47" xfId="0" applyFont="1" applyBorder="1" applyAlignment="1">
      <alignment horizontal="left" vertical="top" wrapText="1"/>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11" fillId="0" borderId="50" xfId="0" applyFont="1" applyBorder="1" applyAlignment="1">
      <alignment horizontal="center" vertical="top"/>
    </xf>
    <xf numFmtId="0" fontId="11" fillId="0" borderId="50" xfId="0"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11" borderId="4"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4" fontId="21" fillId="0" borderId="0" xfId="0" applyNumberFormat="1"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46" borderId="12" xfId="0" applyNumberFormat="1"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36" fillId="2" borderId="3" xfId="0" applyFont="1" applyFill="1" applyBorder="1" applyAlignment="1">
      <alignment horizontal="center"/>
    </xf>
    <xf numFmtId="0" fontId="36" fillId="2" borderId="8" xfId="0" applyFont="1" applyFill="1" applyBorder="1" applyAlignment="1">
      <alignment horizontal="center"/>
    </xf>
    <xf numFmtId="166" fontId="12" fillId="0" borderId="21" xfId="0" applyNumberFormat="1"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 fillId="7" borderId="3" xfId="0" applyNumberFormat="1" applyFont="1" applyFill="1" applyBorder="1" applyAlignment="1" applyProtection="1">
      <alignment horizontal="center"/>
      <protection locked="0"/>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7" borderId="5" xfId="0" applyFont="1" applyFill="1" applyBorder="1" applyAlignment="1" applyProtection="1">
      <alignment horizontal="center"/>
      <protection locked="0"/>
    </xf>
    <xf numFmtId="0" fontId="12" fillId="0" borderId="0" xfId="0" applyFont="1" applyAlignment="1">
      <alignment horizontal="left" wrapText="1"/>
    </xf>
    <xf numFmtId="0" fontId="24"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169" fontId="141" fillId="0" borderId="13" xfId="0" applyNumberFormat="1" applyFont="1" applyBorder="1" applyAlignment="1">
      <alignment horizontal="center" vertic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0" fillId="0" borderId="1" xfId="0" applyBorder="1" applyAlignment="1">
      <alignment horizontal="center" wrapText="1"/>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1" fontId="12" fillId="46" borderId="3" xfId="0" applyNumberFormat="1" applyFont="1" applyFill="1" applyBorder="1" applyAlignment="1" applyProtection="1">
      <alignment horizontal="center"/>
      <protection locked="0"/>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4" fontId="12" fillId="0" borderId="0" xfId="164" applyFont="1" applyFill="1" applyBorder="1" applyAlignment="1" applyProtection="1">
      <alignment horizontal="left" vertical="top" wrapText="1"/>
    </xf>
    <xf numFmtId="0" fontId="21" fillId="0" borderId="0" xfId="0" applyFont="1" applyAlignment="1">
      <alignment horizontal="left" vertical="top" wrapText="1"/>
    </xf>
    <xf numFmtId="0" fontId="12" fillId="0" borderId="0" xfId="0" applyFont="1" applyAlignment="1">
      <alignment horizontal="left" vertical="top" wrapText="1" shrinkToFit="1"/>
    </xf>
    <xf numFmtId="0" fontId="12" fillId="0" borderId="0" xfId="0" applyFont="1" applyAlignment="1">
      <alignment vertical="center" wrapText="1"/>
    </xf>
    <xf numFmtId="0" fontId="13"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0" fontId="48" fillId="0" borderId="3" xfId="0" applyFont="1" applyBorder="1" applyAlignment="1">
      <alignment horizontal="left"/>
    </xf>
    <xf numFmtId="166" fontId="12" fillId="0" borderId="15"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1227">
    <cellStyle name="20% - Accent1" xfId="1" builtinId="30" customBuiltin="1"/>
    <cellStyle name="20% - Accent1 10" xfId="6994" xr:uid="{CFD53CA6-4096-4D7E-9FF8-82D2F8C15B39}"/>
    <cellStyle name="20% - Accent1 11" xfId="2690" xr:uid="{35E8DF6F-AA0C-4C15-A8B6-CC3AF306ECED}"/>
    <cellStyle name="20% - Accent1 12" xfId="1861" xr:uid="{D07F90EF-9E65-4E48-BAC0-0F5241BD56AC}"/>
    <cellStyle name="20% - Accent1 13" xfId="1032" xr:uid="{4A967AA9-B0B0-4C93-9FE9-E986600DC3E8}"/>
    <cellStyle name="20% - Accent1 2" xfId="2" xr:uid="{00000000-0005-0000-0000-000001000000}"/>
    <cellStyle name="20% - Accent1 2 10" xfId="2691" xr:uid="{F3349966-8718-4794-AD0C-1B6A6C9C6525}"/>
    <cellStyle name="20% - Accent1 2 11" xfId="1862" xr:uid="{3C184EB8-79F0-474E-B89C-FCE768ED98FE}"/>
    <cellStyle name="20% - Accent1 2 12" xfId="1033" xr:uid="{9ADFCD43-9D1C-4BE5-8069-C843324F7E91}"/>
    <cellStyle name="20% - Accent1 2 2" xfId="3" xr:uid="{00000000-0005-0000-0000-000002000000}"/>
    <cellStyle name="20% - Accent1 2 2 10" xfId="1863" xr:uid="{5BDADD95-0D87-4783-AED2-5CAEDAB52A94}"/>
    <cellStyle name="20% - Accent1 2 2 11" xfId="1034" xr:uid="{8F93FED8-E07C-46D1-AF67-6562BFED12DD}"/>
    <cellStyle name="20% - Accent1 2 2 2" xfId="4" xr:uid="{00000000-0005-0000-0000-000003000000}"/>
    <cellStyle name="20% - Accent1 2 2 2 10" xfId="1035" xr:uid="{B7FCD07D-660F-413E-9D02-527A1A8CC0D8}"/>
    <cellStyle name="20% - Accent1 2 2 2 2" xfId="581" xr:uid="{00000000-0005-0000-0000-000004000000}"/>
    <cellStyle name="20% - Accent1 2 2 2 2 2" xfId="5338" xr:uid="{67D6690C-2F12-481D-8E73-F0554C7D468E}"/>
    <cellStyle name="20% - Accent1 2 2 2 2 2 2" xfId="9556" xr:uid="{6C22A81F-A229-411C-9E4E-A564B1DDB99F}"/>
    <cellStyle name="20% - Accent1 2 2 2 2 3" xfId="7411" xr:uid="{53C275C0-1902-4535-B1AC-5FF2494C2185}"/>
    <cellStyle name="20% - Accent1 2 2 2 2 4" xfId="3107" xr:uid="{66247DB8-6021-4A88-A26E-32BA1497454E}"/>
    <cellStyle name="20% - Accent1 2 2 2 2 5" xfId="2280" xr:uid="{06F49F7A-D40D-4C98-B6FE-6F9564B11CAD}"/>
    <cellStyle name="20% - Accent1 2 2 2 2 6" xfId="1451" xr:uid="{10EFE5AA-07B7-4176-A822-07D2CB627BF8}"/>
    <cellStyle name="20% - Accent1 2 2 2 3" xfId="3522" xr:uid="{1CFBE136-DBA4-476F-9132-E2AB5A16D300}"/>
    <cellStyle name="20% - Accent1 2 2 2 3 2" xfId="5751" xr:uid="{429ABC2C-6293-4A5E-A713-D2436F602FC3}"/>
    <cellStyle name="20% - Accent1 2 2 2 3 2 2" xfId="9969" xr:uid="{0DAC7561-B05D-4610-8917-2CB2CC372E93}"/>
    <cellStyle name="20% - Accent1 2 2 2 3 3" xfId="7824" xr:uid="{FF573091-261E-45BC-8CA1-7E3BC7D51CF3}"/>
    <cellStyle name="20% - Accent1 2 2 2 4" xfId="3935" xr:uid="{7FCE2F50-D8A7-417A-9139-1B6B12E7B26A}"/>
    <cellStyle name="20% - Accent1 2 2 2 4 2" xfId="6164" xr:uid="{93676639-7EE0-407A-8E99-9FC352CF040B}"/>
    <cellStyle name="20% - Accent1 2 2 2 4 2 2" xfId="10382" xr:uid="{1294A897-D478-4A77-B6FF-474BFB3A07A4}"/>
    <cellStyle name="20% - Accent1 2 2 2 4 3" xfId="8237" xr:uid="{B3EDA260-A433-4701-9648-33A4628D6579}"/>
    <cellStyle name="20% - Accent1 2 2 2 5" xfId="4348" xr:uid="{DFA83A18-C207-4E67-A8E5-B312E68054F3}"/>
    <cellStyle name="20% - Accent1 2 2 2 5 2" xfId="6577" xr:uid="{E1277048-2BB7-42B0-B81A-55A77E93F8F5}"/>
    <cellStyle name="20% - Accent1 2 2 2 5 2 2" xfId="10795" xr:uid="{311ABDAF-063C-410C-B2B5-D7593468AF7E}"/>
    <cellStyle name="20% - Accent1 2 2 2 5 3" xfId="8650" xr:uid="{EB68B0D6-B8C8-42AD-B3D7-69C5F030BB18}"/>
    <cellStyle name="20% - Accent1 2 2 2 6" xfId="4761" xr:uid="{86195A0A-C612-494C-81F5-576ECF6AF6ED}"/>
    <cellStyle name="20% - Accent1 2 2 2 6 2" xfId="9063" xr:uid="{46855DDA-B065-490E-9A44-C238B651BB61}"/>
    <cellStyle name="20% - Accent1 2 2 2 7" xfId="6997" xr:uid="{5FEDA965-2CC6-407A-83D1-08B6E45BD959}"/>
    <cellStyle name="20% - Accent1 2 2 2 8" xfId="2693" xr:uid="{4E438B8F-7AF0-48DE-882B-3BFADDEBAA70}"/>
    <cellStyle name="20% - Accent1 2 2 2 9" xfId="1864" xr:uid="{C27D5F7B-8FC5-4657-9CF6-ADFED7E40945}"/>
    <cellStyle name="20% - Accent1 2 2 3" xfId="580" xr:uid="{00000000-0005-0000-0000-000005000000}"/>
    <cellStyle name="20% - Accent1 2 2 3 2" xfId="5337" xr:uid="{CE006F66-3CDA-4D91-833C-05376DA2AD0C}"/>
    <cellStyle name="20% - Accent1 2 2 3 2 2" xfId="9555" xr:uid="{7F3AA70B-2537-4220-B9F7-3EEAEA74709B}"/>
    <cellStyle name="20% - Accent1 2 2 3 3" xfId="7410" xr:uid="{2FF7B88E-2D71-45A7-9317-4C5C6B6E1FFA}"/>
    <cellStyle name="20% - Accent1 2 2 3 4" xfId="3106" xr:uid="{4DEF245C-7F64-4EF8-ACF9-B8843C16F027}"/>
    <cellStyle name="20% - Accent1 2 2 3 5" xfId="2279" xr:uid="{4D17C812-B54D-4C16-84FE-D0124ADFB450}"/>
    <cellStyle name="20% - Accent1 2 2 3 6" xfId="1450" xr:uid="{D03D47D3-17D1-440E-B6FE-176BF0678193}"/>
    <cellStyle name="20% - Accent1 2 2 4" xfId="3521" xr:uid="{E6C9DDE7-C837-4339-A0D4-D8C8AA152FFC}"/>
    <cellStyle name="20% - Accent1 2 2 4 2" xfId="5750" xr:uid="{212A2708-7759-4A39-9E2D-564C63266353}"/>
    <cellStyle name="20% - Accent1 2 2 4 2 2" xfId="9968" xr:uid="{22BE134D-711A-4E48-A2AF-783CE95FCE71}"/>
    <cellStyle name="20% - Accent1 2 2 4 3" xfId="7823" xr:uid="{A457E4BE-D791-43B4-87AA-538BF8FB975B}"/>
    <cellStyle name="20% - Accent1 2 2 5" xfId="3934" xr:uid="{02C17E71-0D0A-43F2-B7CE-155A5FD513B6}"/>
    <cellStyle name="20% - Accent1 2 2 5 2" xfId="6163" xr:uid="{62BB86D0-2C7B-432A-B21A-B50609F05DC0}"/>
    <cellStyle name="20% - Accent1 2 2 5 2 2" xfId="10381" xr:uid="{B255BDE4-D556-45A6-9D1A-6DD8B308ABAC}"/>
    <cellStyle name="20% - Accent1 2 2 5 3" xfId="8236" xr:uid="{599DDFA8-3A51-483E-82F1-D2582051228D}"/>
    <cellStyle name="20% - Accent1 2 2 6" xfId="4347" xr:uid="{F247C7D4-9B5B-40B2-AB60-A958D9C8D976}"/>
    <cellStyle name="20% - Accent1 2 2 6 2" xfId="6576" xr:uid="{0935D37D-EF32-4C9B-8E75-72E8B58C6D0D}"/>
    <cellStyle name="20% - Accent1 2 2 6 2 2" xfId="10794" xr:uid="{6083F776-80F5-47C5-8D4E-AC98AF4651E8}"/>
    <cellStyle name="20% - Accent1 2 2 6 3" xfId="8649" xr:uid="{70A4C8A8-3F24-4C07-B80B-CCE160A71E4F}"/>
    <cellStyle name="20% - Accent1 2 2 7" xfId="4760" xr:uid="{660E964B-8297-47D2-BD14-3FDA726363BC}"/>
    <cellStyle name="20% - Accent1 2 2 7 2" xfId="9062" xr:uid="{CE9A0D03-6CA7-4A6C-BDF6-631363584B71}"/>
    <cellStyle name="20% - Accent1 2 2 8" xfId="6996" xr:uid="{04D48632-8361-4B73-BE22-3E6D8801ABC4}"/>
    <cellStyle name="20% - Accent1 2 2 9" xfId="2692" xr:uid="{954F6498-CF07-4D06-B624-D5A8066FFB2C}"/>
    <cellStyle name="20% - Accent1 2 3" xfId="5" xr:uid="{00000000-0005-0000-0000-000006000000}"/>
    <cellStyle name="20% - Accent1 2 3 10" xfId="1036" xr:uid="{E1EAD413-0906-478B-82BB-0A03103F1AED}"/>
    <cellStyle name="20% - Accent1 2 3 2" xfId="582" xr:uid="{00000000-0005-0000-0000-000007000000}"/>
    <cellStyle name="20% - Accent1 2 3 2 2" xfId="5339" xr:uid="{87A1EBB9-A8C1-454D-9204-7391AAC9EB9B}"/>
    <cellStyle name="20% - Accent1 2 3 2 2 2" xfId="9557" xr:uid="{A089C479-78FB-46E4-ABBE-6EFF49C6F84B}"/>
    <cellStyle name="20% - Accent1 2 3 2 3" xfId="7412" xr:uid="{14774D5B-DCDC-4307-9D4A-5E5489503B35}"/>
    <cellStyle name="20% - Accent1 2 3 2 4" xfId="3108" xr:uid="{64ACBE3C-2B03-4189-8AF8-1CDFE385EC73}"/>
    <cellStyle name="20% - Accent1 2 3 2 5" xfId="2281" xr:uid="{B7E4BB8C-0959-4976-B333-F1FB8560DC9C}"/>
    <cellStyle name="20% - Accent1 2 3 2 6" xfId="1452" xr:uid="{58024BE6-4157-4F29-A950-CAFD93997E8D}"/>
    <cellStyle name="20% - Accent1 2 3 3" xfId="3523" xr:uid="{3D719C12-B63A-48E0-9C06-93B37446E03C}"/>
    <cellStyle name="20% - Accent1 2 3 3 2" xfId="5752" xr:uid="{A186811B-6782-469D-B8BE-40232A1836C1}"/>
    <cellStyle name="20% - Accent1 2 3 3 2 2" xfId="9970" xr:uid="{57D12B97-743C-4650-8ED8-B869720F5CE5}"/>
    <cellStyle name="20% - Accent1 2 3 3 3" xfId="7825" xr:uid="{D682D8CF-188E-4876-BC92-6F09B881BDF8}"/>
    <cellStyle name="20% - Accent1 2 3 4" xfId="3936" xr:uid="{E432DD23-D716-464C-B237-C368ABB06A73}"/>
    <cellStyle name="20% - Accent1 2 3 4 2" xfId="6165" xr:uid="{52AFF3E1-CAF4-4CF4-BA5E-78E6608371BA}"/>
    <cellStyle name="20% - Accent1 2 3 4 2 2" xfId="10383" xr:uid="{FFD31448-CEE6-4A9E-8843-806C60A6840F}"/>
    <cellStyle name="20% - Accent1 2 3 4 3" xfId="8238" xr:uid="{A5AD46EF-4C15-4D54-9A83-FC954D00EB06}"/>
    <cellStyle name="20% - Accent1 2 3 5" xfId="4349" xr:uid="{4E3AFA8D-F304-479E-B2D0-6EFD768AE043}"/>
    <cellStyle name="20% - Accent1 2 3 5 2" xfId="6578" xr:uid="{E2F0A8A7-2EFC-4EC2-9968-709AECC8A705}"/>
    <cellStyle name="20% - Accent1 2 3 5 2 2" xfId="10796" xr:uid="{CB6D4343-BBF5-49D3-8FDF-A0EE48ECD4A4}"/>
    <cellStyle name="20% - Accent1 2 3 5 3" xfId="8651" xr:uid="{F70FA8E5-F93F-43CE-B0E3-B511FFD4825C}"/>
    <cellStyle name="20% - Accent1 2 3 6" xfId="4762" xr:uid="{C967CFC5-0A1E-4465-BA7D-5CA3BE5F76BD}"/>
    <cellStyle name="20% - Accent1 2 3 6 2" xfId="9064" xr:uid="{D0E29C79-7F76-42B6-9349-FF9355E175E0}"/>
    <cellStyle name="20% - Accent1 2 3 7" xfId="6998" xr:uid="{3585DA15-7157-4B5E-A98B-9B913F00B8A4}"/>
    <cellStyle name="20% - Accent1 2 3 8" xfId="2694" xr:uid="{70B8A3D6-9498-417A-AD0E-DD64C02CD3C3}"/>
    <cellStyle name="20% - Accent1 2 3 9" xfId="1865" xr:uid="{B3898098-2406-4A0A-81D0-09EEA271DA10}"/>
    <cellStyle name="20% - Accent1 2 4" xfId="579" xr:uid="{00000000-0005-0000-0000-000008000000}"/>
    <cellStyle name="20% - Accent1 2 4 2" xfId="5336" xr:uid="{7C1095E6-FDAC-43AD-AD00-64E4C142CA27}"/>
    <cellStyle name="20% - Accent1 2 4 2 2" xfId="9554" xr:uid="{A332E100-162D-4457-8890-CC083F1D9DF1}"/>
    <cellStyle name="20% - Accent1 2 4 3" xfId="7409" xr:uid="{30FA7836-3AC6-4446-9F9C-8EB1400CF58E}"/>
    <cellStyle name="20% - Accent1 2 4 4" xfId="3105" xr:uid="{1C383DFB-7C5D-496A-A2DA-8ADF9F8C47A5}"/>
    <cellStyle name="20% - Accent1 2 4 5" xfId="2278" xr:uid="{56131F9A-53A0-4EF2-994F-2A9CBF10595B}"/>
    <cellStyle name="20% - Accent1 2 4 6" xfId="1449" xr:uid="{0E468C28-058C-48B9-90ED-6A8A27545A3B}"/>
    <cellStyle name="20% - Accent1 2 5" xfId="3520" xr:uid="{A9D0EC2C-8A17-489E-BCA1-DFA4213EF78C}"/>
    <cellStyle name="20% - Accent1 2 5 2" xfId="5749" xr:uid="{C86D5FF0-2877-424F-B30E-F4527CFE7DD7}"/>
    <cellStyle name="20% - Accent1 2 5 2 2" xfId="9967" xr:uid="{25C5A975-4E83-40BE-AACC-10FD4CAA1013}"/>
    <cellStyle name="20% - Accent1 2 5 3" xfId="7822" xr:uid="{B6C29043-28A5-43CA-B8EE-E8870B5124AB}"/>
    <cellStyle name="20% - Accent1 2 6" xfId="3933" xr:uid="{F7C6CFC4-A1A1-453A-9781-9B3D43A1CFAC}"/>
    <cellStyle name="20% - Accent1 2 6 2" xfId="6162" xr:uid="{581CC46E-8BC8-4141-BB70-F1A05C8ACC22}"/>
    <cellStyle name="20% - Accent1 2 6 2 2" xfId="10380" xr:uid="{A2B6161D-1493-4941-8D62-1ED508BF35C4}"/>
    <cellStyle name="20% - Accent1 2 6 3" xfId="8235" xr:uid="{BE0A204D-FA04-4E6A-8415-5F79EDAE032D}"/>
    <cellStyle name="20% - Accent1 2 7" xfId="4346" xr:uid="{774C9CF4-B5A6-4CA9-8F6F-654EC3B4B29A}"/>
    <cellStyle name="20% - Accent1 2 7 2" xfId="6575" xr:uid="{99AAD34A-F4CF-42F0-9947-4D98C31C4801}"/>
    <cellStyle name="20% - Accent1 2 7 2 2" xfId="10793" xr:uid="{65C0EDA8-C0BF-4F72-8D92-E5EEFF83D1DA}"/>
    <cellStyle name="20% - Accent1 2 7 3" xfId="8648" xr:uid="{5265B116-63F0-48A5-A839-6A3373E81944}"/>
    <cellStyle name="20% - Accent1 2 8" xfId="4759" xr:uid="{E440B20C-1F2C-49C3-9EA9-03837DDC5862}"/>
    <cellStyle name="20% - Accent1 2 8 2" xfId="9061" xr:uid="{B103D7B9-3E82-4CC8-8E67-E0703F359D60}"/>
    <cellStyle name="20% - Accent1 2 9" xfId="6995" xr:uid="{F4AF6391-72C3-4B5A-9563-51F5556BBAE3}"/>
    <cellStyle name="20% - Accent1 3" xfId="6" xr:uid="{00000000-0005-0000-0000-000009000000}"/>
    <cellStyle name="20% - Accent1 3 10" xfId="1866" xr:uid="{BF3BA6A1-B04B-45CA-A24D-312D45AC8AB2}"/>
    <cellStyle name="20% - Accent1 3 11" xfId="1037" xr:uid="{C8F46BF4-C92C-4B21-A7C4-A5005B1A6624}"/>
    <cellStyle name="20% - Accent1 3 2" xfId="7" xr:uid="{00000000-0005-0000-0000-00000A000000}"/>
    <cellStyle name="20% - Accent1 3 2 10" xfId="1038" xr:uid="{C212B8BE-A2BF-4F90-A77E-B9295C525CFE}"/>
    <cellStyle name="20% - Accent1 3 2 2" xfId="584" xr:uid="{00000000-0005-0000-0000-00000B000000}"/>
    <cellStyle name="20% - Accent1 3 2 2 2" xfId="5341" xr:uid="{260570AC-AE3C-4CEF-84F1-5A8A7B87F736}"/>
    <cellStyle name="20% - Accent1 3 2 2 2 2" xfId="9559" xr:uid="{3A3D5141-4F43-4B46-B741-477E82591315}"/>
    <cellStyle name="20% - Accent1 3 2 2 3" xfId="7414" xr:uid="{8C47F2DE-45E8-4B08-A181-425A65FCFF30}"/>
    <cellStyle name="20% - Accent1 3 2 2 4" xfId="3110" xr:uid="{CE6D74BB-41F2-4E52-91A1-F06D72814D87}"/>
    <cellStyle name="20% - Accent1 3 2 2 5" xfId="2283" xr:uid="{E1B30AF6-AE52-453D-9FDB-47D6360829C4}"/>
    <cellStyle name="20% - Accent1 3 2 2 6" xfId="1454" xr:uid="{7D020C4A-29D0-44DD-B1E3-D69BAD535107}"/>
    <cellStyle name="20% - Accent1 3 2 3" xfId="3525" xr:uid="{613B21D5-99BC-4BC6-AF33-DD776E0EC5B6}"/>
    <cellStyle name="20% - Accent1 3 2 3 2" xfId="5754" xr:uid="{12367A24-2A05-4A9B-A42C-FE46AFFA195F}"/>
    <cellStyle name="20% - Accent1 3 2 3 2 2" xfId="9972" xr:uid="{7D676BFE-1380-42F1-B486-CA30FD29CC21}"/>
    <cellStyle name="20% - Accent1 3 2 3 3" xfId="7827" xr:uid="{034879C3-A82A-4D8F-9D4B-5F8E11112D90}"/>
    <cellStyle name="20% - Accent1 3 2 4" xfId="3938" xr:uid="{2A15E417-C9DA-4077-A242-9B6A07BC7EBA}"/>
    <cellStyle name="20% - Accent1 3 2 4 2" xfId="6167" xr:uid="{F8186790-67B8-443C-A77E-6C713EB14C61}"/>
    <cellStyle name="20% - Accent1 3 2 4 2 2" xfId="10385" xr:uid="{40789777-1B43-4038-8E98-C6F0A7209A6F}"/>
    <cellStyle name="20% - Accent1 3 2 4 3" xfId="8240" xr:uid="{57350A23-7D93-4E7E-B548-B5864C1F2962}"/>
    <cellStyle name="20% - Accent1 3 2 5" xfId="4351" xr:uid="{5D4B11E2-E2AA-4551-90B2-A584AB18385F}"/>
    <cellStyle name="20% - Accent1 3 2 5 2" xfId="6580" xr:uid="{1DD8C22E-DE87-4844-A61A-A7D3494D95E2}"/>
    <cellStyle name="20% - Accent1 3 2 5 2 2" xfId="10798" xr:uid="{6152C51F-8D81-4B64-B43E-46CCE7B6DCD7}"/>
    <cellStyle name="20% - Accent1 3 2 5 3" xfId="8653" xr:uid="{79252B73-91BF-4C39-AC0C-43F1DF187205}"/>
    <cellStyle name="20% - Accent1 3 2 6" xfId="4764" xr:uid="{8539AA43-4C83-466D-9F1E-F9BA0933B6F8}"/>
    <cellStyle name="20% - Accent1 3 2 6 2" xfId="9066" xr:uid="{14435239-6B88-4299-BBD5-3C3D89B47AC2}"/>
    <cellStyle name="20% - Accent1 3 2 7" xfId="7000" xr:uid="{97AB6E7C-02B3-449F-8F25-DF4AFFDF58A7}"/>
    <cellStyle name="20% - Accent1 3 2 8" xfId="2696" xr:uid="{46816A47-0497-43FA-8E8A-1EFF9C6FC188}"/>
    <cellStyle name="20% - Accent1 3 2 9" xfId="1867" xr:uid="{BC7EF5BE-747D-4C6D-9A81-F55A16DE32B6}"/>
    <cellStyle name="20% - Accent1 3 3" xfId="583" xr:uid="{00000000-0005-0000-0000-00000C000000}"/>
    <cellStyle name="20% - Accent1 3 3 2" xfId="5340" xr:uid="{EC3FEBDA-C761-455B-98A8-1FEB7D3E21E3}"/>
    <cellStyle name="20% - Accent1 3 3 2 2" xfId="9558" xr:uid="{CD2C0FC6-99B0-41FC-ACD2-9E65FAC30EE2}"/>
    <cellStyle name="20% - Accent1 3 3 3" xfId="7413" xr:uid="{4E152CBC-6964-47E9-8B90-33F27BBA434B}"/>
    <cellStyle name="20% - Accent1 3 3 4" xfId="3109" xr:uid="{70DB7C0E-0C11-453B-A15D-0FA767A828DC}"/>
    <cellStyle name="20% - Accent1 3 3 5" xfId="2282" xr:uid="{F10A9713-BFC7-44A6-BD61-7CEE2890AB35}"/>
    <cellStyle name="20% - Accent1 3 3 6" xfId="1453" xr:uid="{D399FC2F-BA5D-4298-A1FC-0095E18CE3FE}"/>
    <cellStyle name="20% - Accent1 3 4" xfId="3524" xr:uid="{71691A4A-ACBE-42BE-825A-ABF63ABD6854}"/>
    <cellStyle name="20% - Accent1 3 4 2" xfId="5753" xr:uid="{8ED14A80-C29C-4166-BD79-B7A6E59CE52B}"/>
    <cellStyle name="20% - Accent1 3 4 2 2" xfId="9971" xr:uid="{2AFBF257-195F-4503-BD52-A6B86917A9A7}"/>
    <cellStyle name="20% - Accent1 3 4 3" xfId="7826" xr:uid="{398006F5-41BD-4983-AE2E-C3CCE3B20E54}"/>
    <cellStyle name="20% - Accent1 3 5" xfId="3937" xr:uid="{5DAF27D8-A631-4403-8115-5DE6DE681562}"/>
    <cellStyle name="20% - Accent1 3 5 2" xfId="6166" xr:uid="{D4C78D79-27D9-48C7-9C3F-2C6B5691B6BF}"/>
    <cellStyle name="20% - Accent1 3 5 2 2" xfId="10384" xr:uid="{D5870291-9E41-41C3-ACC1-8843AE48A41C}"/>
    <cellStyle name="20% - Accent1 3 5 3" xfId="8239" xr:uid="{AC6EF503-2473-40CA-8B5D-16F7F4E45019}"/>
    <cellStyle name="20% - Accent1 3 6" xfId="4350" xr:uid="{B36FAF9A-E105-4464-BD09-57E11529D5B9}"/>
    <cellStyle name="20% - Accent1 3 6 2" xfId="6579" xr:uid="{FE3CC461-D8FF-42DD-91F0-95868001F176}"/>
    <cellStyle name="20% - Accent1 3 6 2 2" xfId="10797" xr:uid="{D9963AE6-DA76-416C-92F7-F459074D09BD}"/>
    <cellStyle name="20% - Accent1 3 6 3" xfId="8652" xr:uid="{7A646572-5730-43B8-A1DF-8C73D22E58BE}"/>
    <cellStyle name="20% - Accent1 3 7" xfId="4763" xr:uid="{D0D1ED69-984D-434C-8AD5-328D29908AD0}"/>
    <cellStyle name="20% - Accent1 3 7 2" xfId="9065" xr:uid="{4AFFA553-F4D1-4326-8BCA-35BE6B9C5C09}"/>
    <cellStyle name="20% - Accent1 3 8" xfId="6999" xr:uid="{998B7419-DC00-4BF5-A626-61FE57480C7E}"/>
    <cellStyle name="20% - Accent1 3 9" xfId="2695" xr:uid="{33EFDE88-7398-4065-9B53-36CB303FBCB8}"/>
    <cellStyle name="20% - Accent1 4" xfId="8" xr:uid="{00000000-0005-0000-0000-00000D000000}"/>
    <cellStyle name="20% - Accent1 4 10" xfId="1039" xr:uid="{43E55BEE-5D1E-4D6A-B23D-4D1A9127BF10}"/>
    <cellStyle name="20% - Accent1 4 2" xfId="585" xr:uid="{00000000-0005-0000-0000-00000E000000}"/>
    <cellStyle name="20% - Accent1 4 2 2" xfId="5342" xr:uid="{69CB42D8-B4FB-4622-8731-BB1E3963F805}"/>
    <cellStyle name="20% - Accent1 4 2 2 2" xfId="9560" xr:uid="{A61A9E0A-8063-4FBD-8BBF-4A5398D9FC2C}"/>
    <cellStyle name="20% - Accent1 4 2 3" xfId="7415" xr:uid="{F1EBBD8A-4CB1-4925-9FC4-C13CB3EAEBB0}"/>
    <cellStyle name="20% - Accent1 4 2 4" xfId="3111" xr:uid="{FCB44F20-05F4-49F7-99B6-50A6B16CA38E}"/>
    <cellStyle name="20% - Accent1 4 2 5" xfId="2284" xr:uid="{97B3905F-282E-419B-AFFB-8E179DB62756}"/>
    <cellStyle name="20% - Accent1 4 2 6" xfId="1455" xr:uid="{62578179-0E4A-45BC-A0C1-8F8F5E587E48}"/>
    <cellStyle name="20% - Accent1 4 3" xfId="3526" xr:uid="{EDD292B4-1F00-47DC-A142-9F1C626D7BB6}"/>
    <cellStyle name="20% - Accent1 4 3 2" xfId="5755" xr:uid="{433412BF-D551-49F8-8922-240B566D0C5B}"/>
    <cellStyle name="20% - Accent1 4 3 2 2" xfId="9973" xr:uid="{1C4EB943-A09F-4AE2-8F38-BD82263E7FDD}"/>
    <cellStyle name="20% - Accent1 4 3 3" xfId="7828" xr:uid="{E47CE651-A3FF-414A-BDA5-3930E9C0FEF1}"/>
    <cellStyle name="20% - Accent1 4 4" xfId="3939" xr:uid="{BBCCCBE2-3D2C-4FE3-8DCE-3343045F9CCE}"/>
    <cellStyle name="20% - Accent1 4 4 2" xfId="6168" xr:uid="{F322B4E9-581F-4C11-96D9-98248EE4E8F4}"/>
    <cellStyle name="20% - Accent1 4 4 2 2" xfId="10386" xr:uid="{E93E401E-CD47-471B-B28A-2154148F6C64}"/>
    <cellStyle name="20% - Accent1 4 4 3" xfId="8241" xr:uid="{6770A565-F728-4B0A-8EFB-74C6A6B96FD5}"/>
    <cellStyle name="20% - Accent1 4 5" xfId="4352" xr:uid="{1FEB8A32-E1DE-46CE-BC6B-E06E2793D918}"/>
    <cellStyle name="20% - Accent1 4 5 2" xfId="6581" xr:uid="{208AB3B7-C26D-4A03-89CA-59A977394C22}"/>
    <cellStyle name="20% - Accent1 4 5 2 2" xfId="10799" xr:uid="{6B8E02F2-602C-409C-894B-D9476B57AF23}"/>
    <cellStyle name="20% - Accent1 4 5 3" xfId="8654" xr:uid="{AC5A99C2-964A-4D59-A1BF-903D5B55068B}"/>
    <cellStyle name="20% - Accent1 4 6" xfId="4765" xr:uid="{3E4DE233-BF0C-46B9-854B-357ECF73DD80}"/>
    <cellStyle name="20% - Accent1 4 6 2" xfId="9067" xr:uid="{98F173BD-25A4-4B5E-97C3-39096E0F669A}"/>
    <cellStyle name="20% - Accent1 4 7" xfId="7001" xr:uid="{80FAC452-348D-4B45-8A08-6B32D728A871}"/>
    <cellStyle name="20% - Accent1 4 8" xfId="2697" xr:uid="{56834BE9-A7AB-4457-843E-30BA669C2DB2}"/>
    <cellStyle name="20% - Accent1 4 9" xfId="1868" xr:uid="{C8769F34-17B4-443F-8EE6-F3C012F2B919}"/>
    <cellStyle name="20% - Accent1 5" xfId="578" xr:uid="{00000000-0005-0000-0000-00000F000000}"/>
    <cellStyle name="20% - Accent1 5 2" xfId="5335" xr:uid="{33346292-8239-4AEA-96C4-8B7F4433940D}"/>
    <cellStyle name="20% - Accent1 5 2 2" xfId="9553" xr:uid="{799CB7DC-C19D-442B-90E0-3619A47A40FE}"/>
    <cellStyle name="20% - Accent1 5 3" xfId="7408" xr:uid="{79846522-7697-42BC-99C7-4CAEF4DE89B6}"/>
    <cellStyle name="20% - Accent1 5 4" xfId="3104" xr:uid="{126D20A7-670E-4D7E-BECE-ACD4EE942270}"/>
    <cellStyle name="20% - Accent1 5 5" xfId="2277" xr:uid="{ADD36CC2-0830-4A32-8DF7-A8F74BD16E23}"/>
    <cellStyle name="20% - Accent1 5 6" xfId="1448" xr:uid="{CBFAC048-A9C9-4868-9F51-645CA5CB2CEE}"/>
    <cellStyle name="20% - Accent1 6" xfId="3519" xr:uid="{2C9BA223-5B09-48F4-9AAA-CC8D6AFC8877}"/>
    <cellStyle name="20% - Accent1 6 2" xfId="5748" xr:uid="{1955A6BA-0541-4B6E-A203-4022FB56880F}"/>
    <cellStyle name="20% - Accent1 6 2 2" xfId="9966" xr:uid="{1FC23219-88E0-4817-83AA-E9C6BA3D81CE}"/>
    <cellStyle name="20% - Accent1 6 3" xfId="7821" xr:uid="{31DD2FB7-92D0-4570-9571-6231463720FC}"/>
    <cellStyle name="20% - Accent1 7" xfId="3932" xr:uid="{9B3F6ECD-3594-4552-BEA5-53E659894FF9}"/>
    <cellStyle name="20% - Accent1 7 2" xfId="6161" xr:uid="{891013F9-1656-4F73-8513-34002F9E7EA1}"/>
    <cellStyle name="20% - Accent1 7 2 2" xfId="10379" xr:uid="{8480ADDC-CA92-4E5F-BA60-5F469D13B668}"/>
    <cellStyle name="20% - Accent1 7 3" xfId="8234" xr:uid="{8D1272ED-3AFD-4991-BD83-5C093041EBDC}"/>
    <cellStyle name="20% - Accent1 8" xfId="4345" xr:uid="{C593704F-61C9-4AAE-A128-18B745365D45}"/>
    <cellStyle name="20% - Accent1 8 2" xfId="6574" xr:uid="{9E354691-0FC2-476A-BEF0-E1D208AB2BC0}"/>
    <cellStyle name="20% - Accent1 8 2 2" xfId="10792" xr:uid="{8036A2FE-ABA3-4034-B6AB-AF7A70A51F5F}"/>
    <cellStyle name="20% - Accent1 8 3" xfId="8647" xr:uid="{6101D9CF-AC6A-4BB5-B47A-834139AFEC1E}"/>
    <cellStyle name="20% - Accent1 9" xfId="4758" xr:uid="{CED82494-A589-4366-B86F-BAE0AA8BD0ED}"/>
    <cellStyle name="20% - Accent1 9 2" xfId="9060" xr:uid="{93F4EC5D-A963-40B9-8B23-7EB8D840729F}"/>
    <cellStyle name="20% - Accent2" xfId="9" builtinId="34" customBuiltin="1"/>
    <cellStyle name="20% - Accent2 10" xfId="7002" xr:uid="{EC2FD54C-B92C-49A9-B684-069A7C37E16B}"/>
    <cellStyle name="20% - Accent2 11" xfId="2698" xr:uid="{C20AEAB3-024E-49D6-A803-164B924EEEF6}"/>
    <cellStyle name="20% - Accent2 12" xfId="1869" xr:uid="{67E0A5F7-DE45-4EA5-88D5-AABF961ADC51}"/>
    <cellStyle name="20% - Accent2 13" xfId="1040" xr:uid="{04A3700F-79F2-4C72-A205-E9CF4D28DD9D}"/>
    <cellStyle name="20% - Accent2 2" xfId="10" xr:uid="{00000000-0005-0000-0000-000011000000}"/>
    <cellStyle name="20% - Accent2 2 10" xfId="2699" xr:uid="{8E11A23F-BF57-48F4-8CB3-56A9EF4709E2}"/>
    <cellStyle name="20% - Accent2 2 11" xfId="1870" xr:uid="{B7E1E5D7-2A6F-4E5E-BBC2-0F10B122A996}"/>
    <cellStyle name="20% - Accent2 2 12" xfId="1041" xr:uid="{2253B066-DDF2-4F40-A016-045F22F5F10E}"/>
    <cellStyle name="20% - Accent2 2 2" xfId="11" xr:uid="{00000000-0005-0000-0000-000012000000}"/>
    <cellStyle name="20% - Accent2 2 2 10" xfId="1871" xr:uid="{DED5F74C-5689-48C4-B291-4639B528B947}"/>
    <cellStyle name="20% - Accent2 2 2 11" xfId="1042" xr:uid="{2C476D72-2120-4B05-B5CC-0A87B2A6C774}"/>
    <cellStyle name="20% - Accent2 2 2 2" xfId="12" xr:uid="{00000000-0005-0000-0000-000013000000}"/>
    <cellStyle name="20% - Accent2 2 2 2 10" xfId="1043" xr:uid="{1C190120-A52C-438C-BCA1-3947DC465E7E}"/>
    <cellStyle name="20% - Accent2 2 2 2 2" xfId="589" xr:uid="{00000000-0005-0000-0000-000014000000}"/>
    <cellStyle name="20% - Accent2 2 2 2 2 2" xfId="5346" xr:uid="{527A89DC-6521-4991-BB87-BF30C3C397D0}"/>
    <cellStyle name="20% - Accent2 2 2 2 2 2 2" xfId="9564" xr:uid="{28D19EF9-8B30-488F-91C9-CA46D4CC5C6F}"/>
    <cellStyle name="20% - Accent2 2 2 2 2 3" xfId="7419" xr:uid="{29997D68-4E5C-4399-9BA2-0DDDDA1ECD13}"/>
    <cellStyle name="20% - Accent2 2 2 2 2 4" xfId="3115" xr:uid="{ABAF9F57-A171-4FAE-8795-C060FFF0329B}"/>
    <cellStyle name="20% - Accent2 2 2 2 2 5" xfId="2288" xr:uid="{5EBBCFA5-B460-495E-A943-650D831EC561}"/>
    <cellStyle name="20% - Accent2 2 2 2 2 6" xfId="1459" xr:uid="{BC1F5BC1-D71C-4890-8B46-BFCEBC1EA4EE}"/>
    <cellStyle name="20% - Accent2 2 2 2 3" xfId="3530" xr:uid="{3AB991FB-4D84-4344-A88A-4CA67036301B}"/>
    <cellStyle name="20% - Accent2 2 2 2 3 2" xfId="5759" xr:uid="{BDE0C27B-44B7-4DFE-AD70-38640087CE2C}"/>
    <cellStyle name="20% - Accent2 2 2 2 3 2 2" xfId="9977" xr:uid="{F3345186-F214-44B2-864A-3213018DD731}"/>
    <cellStyle name="20% - Accent2 2 2 2 3 3" xfId="7832" xr:uid="{AF1BB57F-9634-48ED-A95F-38250805F9E7}"/>
    <cellStyle name="20% - Accent2 2 2 2 4" xfId="3943" xr:uid="{25B9047F-D7BB-453B-9827-CCFBCB971DBF}"/>
    <cellStyle name="20% - Accent2 2 2 2 4 2" xfId="6172" xr:uid="{E9F874DF-3B3F-473B-AB58-0D45B9EE686C}"/>
    <cellStyle name="20% - Accent2 2 2 2 4 2 2" xfId="10390" xr:uid="{4CB618B0-6AAC-4BEA-9446-82D9C18F7BFB}"/>
    <cellStyle name="20% - Accent2 2 2 2 4 3" xfId="8245" xr:uid="{C9950982-E6CD-4BBA-AE08-11F457D8F7B1}"/>
    <cellStyle name="20% - Accent2 2 2 2 5" xfId="4356" xr:uid="{1C8550CC-7A90-40A8-B80E-23C52FC1AC5A}"/>
    <cellStyle name="20% - Accent2 2 2 2 5 2" xfId="6585" xr:uid="{80CB61A2-C4F8-44F0-89D6-90E3202E26B1}"/>
    <cellStyle name="20% - Accent2 2 2 2 5 2 2" xfId="10803" xr:uid="{ABD71AE4-60C1-4DF7-825B-02CEB54F1E2D}"/>
    <cellStyle name="20% - Accent2 2 2 2 5 3" xfId="8658" xr:uid="{D47C0DD3-4C73-49B4-8AAB-F728EE53DB84}"/>
    <cellStyle name="20% - Accent2 2 2 2 6" xfId="4769" xr:uid="{20234428-5F6B-4514-8139-52582E45DC3F}"/>
    <cellStyle name="20% - Accent2 2 2 2 6 2" xfId="9071" xr:uid="{2BBA79AB-A359-4C2E-AA7F-01A1D4BD8F8D}"/>
    <cellStyle name="20% - Accent2 2 2 2 7" xfId="7005" xr:uid="{E58B3E2D-6AE6-4FE4-94D8-699D4431A8A9}"/>
    <cellStyle name="20% - Accent2 2 2 2 8" xfId="2701" xr:uid="{577C7C06-3A42-48CB-A39B-BD07836181DD}"/>
    <cellStyle name="20% - Accent2 2 2 2 9" xfId="1872" xr:uid="{27D11CE9-5C95-49AE-9211-378FE1D08F58}"/>
    <cellStyle name="20% - Accent2 2 2 3" xfId="588" xr:uid="{00000000-0005-0000-0000-000015000000}"/>
    <cellStyle name="20% - Accent2 2 2 3 2" xfId="5345" xr:uid="{4D408250-5591-4E3A-9214-2E87F340E78D}"/>
    <cellStyle name="20% - Accent2 2 2 3 2 2" xfId="9563" xr:uid="{FF5C550E-58FC-46D6-89E6-17FF64C4F7B6}"/>
    <cellStyle name="20% - Accent2 2 2 3 3" xfId="7418" xr:uid="{23223680-376A-455A-9AA6-F320C3C9DB07}"/>
    <cellStyle name="20% - Accent2 2 2 3 4" xfId="3114" xr:uid="{6BF1BC4A-719C-4B2D-B3EC-2D91242742E0}"/>
    <cellStyle name="20% - Accent2 2 2 3 5" xfId="2287" xr:uid="{E1A4F719-A0EA-40F0-BAC9-CB369C5BF7F5}"/>
    <cellStyle name="20% - Accent2 2 2 3 6" xfId="1458" xr:uid="{68BEECE8-5039-4408-B65D-8C84A740E9CE}"/>
    <cellStyle name="20% - Accent2 2 2 4" xfId="3529" xr:uid="{4C8CB386-6537-4E50-9D40-6A2D37A784B3}"/>
    <cellStyle name="20% - Accent2 2 2 4 2" xfId="5758" xr:uid="{F573ED17-68AB-4CCC-B86C-72E21A3DA30B}"/>
    <cellStyle name="20% - Accent2 2 2 4 2 2" xfId="9976" xr:uid="{29F22807-B841-4C82-94A2-542DDD31732E}"/>
    <cellStyle name="20% - Accent2 2 2 4 3" xfId="7831" xr:uid="{A324FC2D-F4CB-4146-9469-29CEC3642090}"/>
    <cellStyle name="20% - Accent2 2 2 5" xfId="3942" xr:uid="{07B323E5-9547-43D1-9034-8B79A83BDF36}"/>
    <cellStyle name="20% - Accent2 2 2 5 2" xfId="6171" xr:uid="{C2A2DDA7-9464-4387-AA03-9201E86D9BA9}"/>
    <cellStyle name="20% - Accent2 2 2 5 2 2" xfId="10389" xr:uid="{CB0723E5-3660-4A15-8909-800A2D8D69F6}"/>
    <cellStyle name="20% - Accent2 2 2 5 3" xfId="8244" xr:uid="{4F6F3A8C-42DB-4F67-8E22-2DDC026BBD8C}"/>
    <cellStyle name="20% - Accent2 2 2 6" xfId="4355" xr:uid="{23063367-EED5-422C-9EF1-0833FAE0641A}"/>
    <cellStyle name="20% - Accent2 2 2 6 2" xfId="6584" xr:uid="{B9650D45-84E4-4569-B55B-50004581984F}"/>
    <cellStyle name="20% - Accent2 2 2 6 2 2" xfId="10802" xr:uid="{EDA17AD3-4CF6-41F4-9628-086827FBF018}"/>
    <cellStyle name="20% - Accent2 2 2 6 3" xfId="8657" xr:uid="{1E73FDE9-A379-4EE4-8E7C-222ABD1E682A}"/>
    <cellStyle name="20% - Accent2 2 2 7" xfId="4768" xr:uid="{0C449254-05B3-453C-B5D6-BBCE25E99079}"/>
    <cellStyle name="20% - Accent2 2 2 7 2" xfId="9070" xr:uid="{2DF67860-029A-4205-97AF-16BDA0CBC5B1}"/>
    <cellStyle name="20% - Accent2 2 2 8" xfId="7004" xr:uid="{4B5B943D-1873-4604-BD88-B7107E525DF3}"/>
    <cellStyle name="20% - Accent2 2 2 9" xfId="2700" xr:uid="{E79B24A0-1087-48E9-BEF9-F7534E62019A}"/>
    <cellStyle name="20% - Accent2 2 3" xfId="13" xr:uid="{00000000-0005-0000-0000-000016000000}"/>
    <cellStyle name="20% - Accent2 2 3 10" xfId="1044" xr:uid="{742CC158-219B-461E-A452-EA8A6EA7BFF1}"/>
    <cellStyle name="20% - Accent2 2 3 2" xfId="590" xr:uid="{00000000-0005-0000-0000-000017000000}"/>
    <cellStyle name="20% - Accent2 2 3 2 2" xfId="5347" xr:uid="{68E8677C-B33E-400F-B6CE-A7FCF264E186}"/>
    <cellStyle name="20% - Accent2 2 3 2 2 2" xfId="9565" xr:uid="{11BCA73D-6186-436A-9666-116234E2349C}"/>
    <cellStyle name="20% - Accent2 2 3 2 3" xfId="7420" xr:uid="{32A37224-72D6-4895-9016-837DF8EA0129}"/>
    <cellStyle name="20% - Accent2 2 3 2 4" xfId="3116" xr:uid="{7D66DBE2-AC58-44F2-8D20-B95E9EBD5985}"/>
    <cellStyle name="20% - Accent2 2 3 2 5" xfId="2289" xr:uid="{FC934F86-0A8A-4893-B120-3DD564B0B402}"/>
    <cellStyle name="20% - Accent2 2 3 2 6" xfId="1460" xr:uid="{25D35E2D-FB9C-4288-B661-8A126B534D45}"/>
    <cellStyle name="20% - Accent2 2 3 3" xfId="3531" xr:uid="{9370EA66-F599-43FA-92D4-9FE97FEBD4EB}"/>
    <cellStyle name="20% - Accent2 2 3 3 2" xfId="5760" xr:uid="{69BF15D1-0813-4879-A75B-AB7085A1B859}"/>
    <cellStyle name="20% - Accent2 2 3 3 2 2" xfId="9978" xr:uid="{24950486-0F76-4E99-9538-D73C8D219A59}"/>
    <cellStyle name="20% - Accent2 2 3 3 3" xfId="7833" xr:uid="{630BF6E1-AAA4-45FD-A86D-A8420D87E8B3}"/>
    <cellStyle name="20% - Accent2 2 3 4" xfId="3944" xr:uid="{EBC77DFD-43E5-41C4-BCA4-246E6E621300}"/>
    <cellStyle name="20% - Accent2 2 3 4 2" xfId="6173" xr:uid="{C127E09E-25A5-468A-8A8C-8089C5934E65}"/>
    <cellStyle name="20% - Accent2 2 3 4 2 2" xfId="10391" xr:uid="{0AAD6684-289C-4DDA-93C9-F6EAC1EDB1AD}"/>
    <cellStyle name="20% - Accent2 2 3 4 3" xfId="8246" xr:uid="{CAE2E907-329A-4DB0-990A-C468545496B5}"/>
    <cellStyle name="20% - Accent2 2 3 5" xfId="4357" xr:uid="{19828CE9-1AC8-4E5A-A38B-BF8004FD06B9}"/>
    <cellStyle name="20% - Accent2 2 3 5 2" xfId="6586" xr:uid="{3A239A56-1387-450B-A524-6BAEB9205F1E}"/>
    <cellStyle name="20% - Accent2 2 3 5 2 2" xfId="10804" xr:uid="{E6598518-28AA-440D-B2B3-3079847577BF}"/>
    <cellStyle name="20% - Accent2 2 3 5 3" xfId="8659" xr:uid="{CE21F301-2294-41B5-95CD-7178CB152A71}"/>
    <cellStyle name="20% - Accent2 2 3 6" xfId="4770" xr:uid="{739F5279-7F6A-4401-B132-3234CCE90A1E}"/>
    <cellStyle name="20% - Accent2 2 3 6 2" xfId="9072" xr:uid="{A087C545-189A-483A-8A32-EEEB9ABA5529}"/>
    <cellStyle name="20% - Accent2 2 3 7" xfId="7006" xr:uid="{A51DD21B-2AA3-40CD-8809-75CDA9AE925E}"/>
    <cellStyle name="20% - Accent2 2 3 8" xfId="2702" xr:uid="{CFE8C0EE-7B9B-40FB-A0CB-2F51892E5606}"/>
    <cellStyle name="20% - Accent2 2 3 9" xfId="1873" xr:uid="{92319DB7-73E5-4C78-9561-5790F312B9A4}"/>
    <cellStyle name="20% - Accent2 2 4" xfId="587" xr:uid="{00000000-0005-0000-0000-000018000000}"/>
    <cellStyle name="20% - Accent2 2 4 2" xfId="5344" xr:uid="{EFE01BD7-5976-4A37-A6CD-D04D0AE725A0}"/>
    <cellStyle name="20% - Accent2 2 4 2 2" xfId="9562" xr:uid="{D0BA1F9C-D9B9-4267-8D1C-8FC8D30FF2F2}"/>
    <cellStyle name="20% - Accent2 2 4 3" xfId="7417" xr:uid="{44AD08EC-9137-403E-A784-C699DEC7DDC6}"/>
    <cellStyle name="20% - Accent2 2 4 4" xfId="3113" xr:uid="{DD8AC2A8-DA60-41EF-9D3A-7E7FA0EF73EB}"/>
    <cellStyle name="20% - Accent2 2 4 5" xfId="2286" xr:uid="{EE33690A-4EA7-47AF-AB25-070DA3224C09}"/>
    <cellStyle name="20% - Accent2 2 4 6" xfId="1457" xr:uid="{A0332C14-0EB3-4B47-A225-A2117307DB09}"/>
    <cellStyle name="20% - Accent2 2 5" xfId="3528" xr:uid="{891C6D4E-6162-4F79-B95A-CFB85B45EC88}"/>
    <cellStyle name="20% - Accent2 2 5 2" xfId="5757" xr:uid="{6C30800E-E4A7-4173-A8C9-200D5CA1F88A}"/>
    <cellStyle name="20% - Accent2 2 5 2 2" xfId="9975" xr:uid="{0AB05354-D1E8-4194-86D4-DAAC5E339280}"/>
    <cellStyle name="20% - Accent2 2 5 3" xfId="7830" xr:uid="{E50DD129-71C5-49D5-AA06-93F7137EE27B}"/>
    <cellStyle name="20% - Accent2 2 6" xfId="3941" xr:uid="{9B1808F5-ACF0-4688-8106-237EA5CEB05A}"/>
    <cellStyle name="20% - Accent2 2 6 2" xfId="6170" xr:uid="{76E8744B-6A3E-4FB4-8EE8-72B16E599735}"/>
    <cellStyle name="20% - Accent2 2 6 2 2" xfId="10388" xr:uid="{B080DDA6-9AB1-4E26-A68A-5C839F79DD1A}"/>
    <cellStyle name="20% - Accent2 2 6 3" xfId="8243" xr:uid="{7949AB83-110E-4699-9F2A-7A2D0CAD6798}"/>
    <cellStyle name="20% - Accent2 2 7" xfId="4354" xr:uid="{C1D84432-4DB0-470A-B231-E1AFB23F5F83}"/>
    <cellStyle name="20% - Accent2 2 7 2" xfId="6583" xr:uid="{13F1FEAF-B1A5-4D31-906D-1E30607EFE8A}"/>
    <cellStyle name="20% - Accent2 2 7 2 2" xfId="10801" xr:uid="{1E42BD39-AAFA-428F-B879-56232FCA3723}"/>
    <cellStyle name="20% - Accent2 2 7 3" xfId="8656" xr:uid="{05C92892-203B-4023-BD12-6E1254DE350C}"/>
    <cellStyle name="20% - Accent2 2 8" xfId="4767" xr:uid="{7633DD41-38D1-4EB5-97FF-8B4BD6A10FEA}"/>
    <cellStyle name="20% - Accent2 2 8 2" xfId="9069" xr:uid="{45F3E173-2A7A-482A-B936-2DB7B75673E5}"/>
    <cellStyle name="20% - Accent2 2 9" xfId="7003" xr:uid="{DCC86DE6-DC8A-41E5-9839-4C8A8582FA6B}"/>
    <cellStyle name="20% - Accent2 3" xfId="14" xr:uid="{00000000-0005-0000-0000-000019000000}"/>
    <cellStyle name="20% - Accent2 3 10" xfId="1874" xr:uid="{8115EB1B-52BF-42E3-864E-A8FCB950A661}"/>
    <cellStyle name="20% - Accent2 3 11" xfId="1045" xr:uid="{88429554-EF97-47CF-BC29-9DB106586B28}"/>
    <cellStyle name="20% - Accent2 3 2" xfId="15" xr:uid="{00000000-0005-0000-0000-00001A000000}"/>
    <cellStyle name="20% - Accent2 3 2 10" xfId="1046" xr:uid="{135A2BDE-8980-4CB3-990E-D3D6EECC4555}"/>
    <cellStyle name="20% - Accent2 3 2 2" xfId="592" xr:uid="{00000000-0005-0000-0000-00001B000000}"/>
    <cellStyle name="20% - Accent2 3 2 2 2" xfId="5349" xr:uid="{EDD3A575-5405-4390-87DB-B8913111296F}"/>
    <cellStyle name="20% - Accent2 3 2 2 2 2" xfId="9567" xr:uid="{6FD1577E-8AAB-4371-B0EF-DCA7385B9735}"/>
    <cellStyle name="20% - Accent2 3 2 2 3" xfId="7422" xr:uid="{815B2E20-92D8-4785-A86D-2EC7E4980A71}"/>
    <cellStyle name="20% - Accent2 3 2 2 4" xfId="3118" xr:uid="{164CFA90-7E73-46DE-9325-9FF4F7C8A565}"/>
    <cellStyle name="20% - Accent2 3 2 2 5" xfId="2291" xr:uid="{CCD1C01F-EF3E-4966-A7AA-175CBF0E4BB0}"/>
    <cellStyle name="20% - Accent2 3 2 2 6" xfId="1462" xr:uid="{7D44C2EF-295E-40C2-A55E-304B17F57A54}"/>
    <cellStyle name="20% - Accent2 3 2 3" xfId="3533" xr:uid="{A0590642-E048-4003-8A78-971FBBE4A2B9}"/>
    <cellStyle name="20% - Accent2 3 2 3 2" xfId="5762" xr:uid="{4D63FC03-0687-408B-9AB8-A2CAB3C8A43C}"/>
    <cellStyle name="20% - Accent2 3 2 3 2 2" xfId="9980" xr:uid="{9C357E82-F7F5-4B7A-8B67-AEB1961055DE}"/>
    <cellStyle name="20% - Accent2 3 2 3 3" xfId="7835" xr:uid="{434CF4F7-E1E0-46CB-9B81-DD9308849A1B}"/>
    <cellStyle name="20% - Accent2 3 2 4" xfId="3946" xr:uid="{FEB9A5C3-B7C0-458F-B26A-F4F15AC38742}"/>
    <cellStyle name="20% - Accent2 3 2 4 2" xfId="6175" xr:uid="{38493FA8-A108-4FCE-8C4C-A017DAD7D692}"/>
    <cellStyle name="20% - Accent2 3 2 4 2 2" xfId="10393" xr:uid="{5F2DA669-5839-4E05-A925-5E81479FC151}"/>
    <cellStyle name="20% - Accent2 3 2 4 3" xfId="8248" xr:uid="{8DE86BD9-AFE5-409D-B2F3-27223101013E}"/>
    <cellStyle name="20% - Accent2 3 2 5" xfId="4359" xr:uid="{DCB6C64E-22C3-4592-B5FC-88BC32588AD4}"/>
    <cellStyle name="20% - Accent2 3 2 5 2" xfId="6588" xr:uid="{6F00DC12-95CB-4B17-BE2A-877BE1302D1D}"/>
    <cellStyle name="20% - Accent2 3 2 5 2 2" xfId="10806" xr:uid="{8C687141-CD60-4417-937A-F87F670F7C54}"/>
    <cellStyle name="20% - Accent2 3 2 5 3" xfId="8661" xr:uid="{955E61E4-5D1A-4BC5-B024-BC3434F8F571}"/>
    <cellStyle name="20% - Accent2 3 2 6" xfId="4772" xr:uid="{94E3A90C-D66D-491A-A41F-C723D3244435}"/>
    <cellStyle name="20% - Accent2 3 2 6 2" xfId="9074" xr:uid="{250DFF6E-BD52-4D41-A495-F16C21BF9B80}"/>
    <cellStyle name="20% - Accent2 3 2 7" xfId="7008" xr:uid="{64F653B8-7AB8-4AA8-8A72-686FFDDD0E4A}"/>
    <cellStyle name="20% - Accent2 3 2 8" xfId="2704" xr:uid="{D7F152FF-15C7-414B-B653-71B6CFF984B9}"/>
    <cellStyle name="20% - Accent2 3 2 9" xfId="1875" xr:uid="{0516527B-EFD5-4CC4-9C5E-7DF95A9882C6}"/>
    <cellStyle name="20% - Accent2 3 3" xfId="591" xr:uid="{00000000-0005-0000-0000-00001C000000}"/>
    <cellStyle name="20% - Accent2 3 3 2" xfId="5348" xr:uid="{0757EEB5-7E54-45A9-B7D7-D2EB878C54ED}"/>
    <cellStyle name="20% - Accent2 3 3 2 2" xfId="9566" xr:uid="{4F5BC512-9B6A-4138-BB87-97B2222F525C}"/>
    <cellStyle name="20% - Accent2 3 3 3" xfId="7421" xr:uid="{5E3F8C03-4C4B-490A-96B5-590A586ECEB2}"/>
    <cellStyle name="20% - Accent2 3 3 4" xfId="3117" xr:uid="{8EA6B092-6081-403A-B820-F953D8284F8B}"/>
    <cellStyle name="20% - Accent2 3 3 5" xfId="2290" xr:uid="{4BD69D70-4C5F-4B28-A5CC-5FF2C51AED6F}"/>
    <cellStyle name="20% - Accent2 3 3 6" xfId="1461" xr:uid="{17CE4DCE-D02B-4423-9647-452C2AEEA094}"/>
    <cellStyle name="20% - Accent2 3 4" xfId="3532" xr:uid="{B9AFB6DA-1987-478B-9AB7-FB7F0177BE72}"/>
    <cellStyle name="20% - Accent2 3 4 2" xfId="5761" xr:uid="{53DBB007-D37B-4DC6-A1E9-9EB90498D818}"/>
    <cellStyle name="20% - Accent2 3 4 2 2" xfId="9979" xr:uid="{952BAC36-9FD5-46DF-B42A-8B9DB67E4155}"/>
    <cellStyle name="20% - Accent2 3 4 3" xfId="7834" xr:uid="{3DF7CAB4-9484-4C05-A0D6-76AB3F148970}"/>
    <cellStyle name="20% - Accent2 3 5" xfId="3945" xr:uid="{A0D240EF-EB42-427A-8C3C-8AC761223773}"/>
    <cellStyle name="20% - Accent2 3 5 2" xfId="6174" xr:uid="{8590D418-87D9-4701-982C-0745CAD5E9FA}"/>
    <cellStyle name="20% - Accent2 3 5 2 2" xfId="10392" xr:uid="{FFF527B1-70D8-49BB-BB3F-4BD8962FD4AF}"/>
    <cellStyle name="20% - Accent2 3 5 3" xfId="8247" xr:uid="{A7A058BE-1086-428E-B34B-37D8C7ECAC2B}"/>
    <cellStyle name="20% - Accent2 3 6" xfId="4358" xr:uid="{5FA4B759-8320-4964-BC8F-2A60F9E17154}"/>
    <cellStyle name="20% - Accent2 3 6 2" xfId="6587" xr:uid="{3DA494E2-8F2B-4D07-BAF0-B1518A364313}"/>
    <cellStyle name="20% - Accent2 3 6 2 2" xfId="10805" xr:uid="{03D4293C-7B09-4DAA-8CE7-6AD5C578A34B}"/>
    <cellStyle name="20% - Accent2 3 6 3" xfId="8660" xr:uid="{E6B2FBC5-5F99-4F4B-9EA2-48B7F745FDE8}"/>
    <cellStyle name="20% - Accent2 3 7" xfId="4771" xr:uid="{A1857E4B-28FC-45D7-B5B5-9D17467968EA}"/>
    <cellStyle name="20% - Accent2 3 7 2" xfId="9073" xr:uid="{E03A0F89-9D83-4439-B8D0-5E920DA1A08E}"/>
    <cellStyle name="20% - Accent2 3 8" xfId="7007" xr:uid="{4A294A8F-B234-45F9-9FAD-23E1303E5279}"/>
    <cellStyle name="20% - Accent2 3 9" xfId="2703" xr:uid="{8A56D7EF-F04D-4EA9-8435-769AF5EE12FA}"/>
    <cellStyle name="20% - Accent2 4" xfId="16" xr:uid="{00000000-0005-0000-0000-00001D000000}"/>
    <cellStyle name="20% - Accent2 4 10" xfId="1047" xr:uid="{88F46769-73DD-447C-A1B4-B9EBF1347F21}"/>
    <cellStyle name="20% - Accent2 4 2" xfId="593" xr:uid="{00000000-0005-0000-0000-00001E000000}"/>
    <cellStyle name="20% - Accent2 4 2 2" xfId="5350" xr:uid="{02539608-67C6-45D6-8C11-666821426A60}"/>
    <cellStyle name="20% - Accent2 4 2 2 2" xfId="9568" xr:uid="{ADC43023-A917-4AB7-BB46-1FC664BEB156}"/>
    <cellStyle name="20% - Accent2 4 2 3" xfId="7423" xr:uid="{23326ECD-FD37-44FF-983B-54C494332325}"/>
    <cellStyle name="20% - Accent2 4 2 4" xfId="3119" xr:uid="{96F98EAA-B7A9-4794-9305-C37B6FF631E4}"/>
    <cellStyle name="20% - Accent2 4 2 5" xfId="2292" xr:uid="{76A24002-BB76-4F2C-B415-C178A24BB683}"/>
    <cellStyle name="20% - Accent2 4 2 6" xfId="1463" xr:uid="{2BF99ACA-C640-4745-9E3B-A04738C8267E}"/>
    <cellStyle name="20% - Accent2 4 3" xfId="3534" xr:uid="{0936709B-2644-4D67-AF9A-9EB58D8294EB}"/>
    <cellStyle name="20% - Accent2 4 3 2" xfId="5763" xr:uid="{2D533315-E520-470F-A81C-8DF034922C73}"/>
    <cellStyle name="20% - Accent2 4 3 2 2" xfId="9981" xr:uid="{960EB6D7-9F7B-4E6A-938D-28895440D362}"/>
    <cellStyle name="20% - Accent2 4 3 3" xfId="7836" xr:uid="{839F7527-969D-4168-B0E7-E7126022FE62}"/>
    <cellStyle name="20% - Accent2 4 4" xfId="3947" xr:uid="{5E1FD975-993A-41BB-B783-6945B9BE470A}"/>
    <cellStyle name="20% - Accent2 4 4 2" xfId="6176" xr:uid="{5B5FAEA6-AAD8-40D2-B1D1-1261998A25E9}"/>
    <cellStyle name="20% - Accent2 4 4 2 2" xfId="10394" xr:uid="{70E44147-3D90-4CDE-9A94-434B06023011}"/>
    <cellStyle name="20% - Accent2 4 4 3" xfId="8249" xr:uid="{F753D0FF-17D1-4341-A882-2B9934F3014D}"/>
    <cellStyle name="20% - Accent2 4 5" xfId="4360" xr:uid="{B3F13B87-CD35-4AB7-BF63-C01BAB803EFB}"/>
    <cellStyle name="20% - Accent2 4 5 2" xfId="6589" xr:uid="{457BE333-E3B6-4D6A-8152-B167972FF97B}"/>
    <cellStyle name="20% - Accent2 4 5 2 2" xfId="10807" xr:uid="{476B9606-34E9-4C69-8C83-F4349124CC98}"/>
    <cellStyle name="20% - Accent2 4 5 3" xfId="8662" xr:uid="{DB5A8378-1886-46EB-BEF9-9B0E1B099DD6}"/>
    <cellStyle name="20% - Accent2 4 6" xfId="4773" xr:uid="{3FD0FE78-791B-4A1C-AB86-6DC84D07D454}"/>
    <cellStyle name="20% - Accent2 4 6 2" xfId="9075" xr:uid="{CD126D1B-AE22-47A9-8067-03B8C83ED733}"/>
    <cellStyle name="20% - Accent2 4 7" xfId="7009" xr:uid="{85509077-2EEE-49C1-B10C-46FD52DD88F2}"/>
    <cellStyle name="20% - Accent2 4 8" xfId="2705" xr:uid="{7B772119-68E5-46F4-BDC8-C7A0C5DCC096}"/>
    <cellStyle name="20% - Accent2 4 9" xfId="1876" xr:uid="{C5BB5B69-3BD4-4CAC-AE12-FA40B2D09566}"/>
    <cellStyle name="20% - Accent2 5" xfId="586" xr:uid="{00000000-0005-0000-0000-00001F000000}"/>
    <cellStyle name="20% - Accent2 5 2" xfId="5343" xr:uid="{C6131B98-AF58-469B-A340-9C3A24B95FB8}"/>
    <cellStyle name="20% - Accent2 5 2 2" xfId="9561" xr:uid="{2114AE81-6168-4803-88BF-C5AEE464EDAC}"/>
    <cellStyle name="20% - Accent2 5 3" xfId="7416" xr:uid="{E6B6EA25-A435-44D4-8F66-773F15779AAE}"/>
    <cellStyle name="20% - Accent2 5 4" xfId="3112" xr:uid="{CC153555-BB6E-4C60-A116-22F8AB418012}"/>
    <cellStyle name="20% - Accent2 5 5" xfId="2285" xr:uid="{A096FC05-AAAB-421A-AAF8-712FB35D7D78}"/>
    <cellStyle name="20% - Accent2 5 6" xfId="1456" xr:uid="{81C2EF8B-4460-48E0-9F53-B2033DC72C61}"/>
    <cellStyle name="20% - Accent2 6" xfId="3527" xr:uid="{D007CEF3-3963-49B1-B281-1CF11A7626B2}"/>
    <cellStyle name="20% - Accent2 6 2" xfId="5756" xr:uid="{4909E839-701E-47E3-9CE7-FC0B4E083B3A}"/>
    <cellStyle name="20% - Accent2 6 2 2" xfId="9974" xr:uid="{64FB8700-F71D-4AEE-BDF1-31B0F5E362B2}"/>
    <cellStyle name="20% - Accent2 6 3" xfId="7829" xr:uid="{63663905-3518-42D2-84AF-9AFCB8A88E9D}"/>
    <cellStyle name="20% - Accent2 7" xfId="3940" xr:uid="{394D9E73-71B3-4041-9C27-AC4ED9EE34E5}"/>
    <cellStyle name="20% - Accent2 7 2" xfId="6169" xr:uid="{59DE8C02-EE29-4395-873E-91BD16731DE1}"/>
    <cellStyle name="20% - Accent2 7 2 2" xfId="10387" xr:uid="{DCFF74DA-29BA-4C3B-9F3A-F832B3338FAE}"/>
    <cellStyle name="20% - Accent2 7 3" xfId="8242" xr:uid="{69EBA3A9-8C21-40C0-A630-7AB9BF19049C}"/>
    <cellStyle name="20% - Accent2 8" xfId="4353" xr:uid="{8D562FD6-91FB-4EFB-A4B9-65788A50C606}"/>
    <cellStyle name="20% - Accent2 8 2" xfId="6582" xr:uid="{03DDE6F5-C559-41E8-B352-532093FD79CD}"/>
    <cellStyle name="20% - Accent2 8 2 2" xfId="10800" xr:uid="{7E214409-BB11-4AB6-8CC0-6F1339091BA8}"/>
    <cellStyle name="20% - Accent2 8 3" xfId="8655" xr:uid="{4BE70A2C-DB6F-4CC5-9277-FF0C9B105D6C}"/>
    <cellStyle name="20% - Accent2 9" xfId="4766" xr:uid="{C521EB51-DE0E-4A36-9E16-6983070A7033}"/>
    <cellStyle name="20% - Accent2 9 2" xfId="9068" xr:uid="{45A51E96-EB6F-4F26-9A51-F0F5A2CB51DE}"/>
    <cellStyle name="20% - Accent3" xfId="17" builtinId="38" customBuiltin="1"/>
    <cellStyle name="20% - Accent3 10" xfId="7010" xr:uid="{BD9C5475-1578-4ACF-8BFA-3029617401D7}"/>
    <cellStyle name="20% - Accent3 11" xfId="2706" xr:uid="{9FFCA222-F7BB-457A-B918-B6E894362CBB}"/>
    <cellStyle name="20% - Accent3 12" xfId="1877" xr:uid="{0283F61C-7A91-4B4E-AA31-1859155CB805}"/>
    <cellStyle name="20% - Accent3 13" xfId="1048" xr:uid="{C9CB9515-A61B-432A-A84B-39F424C17DF3}"/>
    <cellStyle name="20% - Accent3 2" xfId="18" xr:uid="{00000000-0005-0000-0000-000021000000}"/>
    <cellStyle name="20% - Accent3 2 10" xfId="2707" xr:uid="{93930CA1-E578-45C5-BDB3-87C4A3A95C7D}"/>
    <cellStyle name="20% - Accent3 2 11" xfId="1878" xr:uid="{F4247C33-7B8C-4FAD-8107-F62C3A5BB52F}"/>
    <cellStyle name="20% - Accent3 2 12" xfId="1049" xr:uid="{DAF52BE5-8122-493F-8539-4C111DDAD4ED}"/>
    <cellStyle name="20% - Accent3 2 2" xfId="19" xr:uid="{00000000-0005-0000-0000-000022000000}"/>
    <cellStyle name="20% - Accent3 2 2 10" xfId="1879" xr:uid="{49A449E9-C716-4975-86D7-3AB8748199DE}"/>
    <cellStyle name="20% - Accent3 2 2 11" xfId="1050" xr:uid="{0EC7D1BE-714F-45A1-AF63-ECC319CEA34E}"/>
    <cellStyle name="20% - Accent3 2 2 2" xfId="20" xr:uid="{00000000-0005-0000-0000-000023000000}"/>
    <cellStyle name="20% - Accent3 2 2 2 10" xfId="1051" xr:uid="{356B1E0E-E55C-484E-8454-7D899AFFDAEA}"/>
    <cellStyle name="20% - Accent3 2 2 2 2" xfId="597" xr:uid="{00000000-0005-0000-0000-000024000000}"/>
    <cellStyle name="20% - Accent3 2 2 2 2 2" xfId="5354" xr:uid="{A0F7E9BB-0886-4043-964F-2422D24D2A17}"/>
    <cellStyle name="20% - Accent3 2 2 2 2 2 2" xfId="9572" xr:uid="{A2CFC988-D2E3-4BB1-B582-B25D7BD721D8}"/>
    <cellStyle name="20% - Accent3 2 2 2 2 3" xfId="7427" xr:uid="{1591F5B4-5AB2-4B98-8E1F-9E06A703E6E9}"/>
    <cellStyle name="20% - Accent3 2 2 2 2 4" xfId="3123" xr:uid="{6BEF7E9B-7BCE-4398-A85A-D4A468F47B47}"/>
    <cellStyle name="20% - Accent3 2 2 2 2 5" xfId="2296" xr:uid="{C8DF0FC9-29B7-4659-87DB-50CDFFDBB174}"/>
    <cellStyle name="20% - Accent3 2 2 2 2 6" xfId="1467" xr:uid="{DF011B6F-475F-4B9A-A16B-C7E2F18ADB71}"/>
    <cellStyle name="20% - Accent3 2 2 2 3" xfId="3538" xr:uid="{E4DECAAE-84CD-417B-BB44-3F0D3D67BE84}"/>
    <cellStyle name="20% - Accent3 2 2 2 3 2" xfId="5767" xr:uid="{ABAEE994-A9A1-4453-8970-4C88ED4EA266}"/>
    <cellStyle name="20% - Accent3 2 2 2 3 2 2" xfId="9985" xr:uid="{3C558EAE-B1B2-42E5-A2D0-E2DE86654C53}"/>
    <cellStyle name="20% - Accent3 2 2 2 3 3" xfId="7840" xr:uid="{F0E4AADD-7682-4B26-8308-4F4698D855CB}"/>
    <cellStyle name="20% - Accent3 2 2 2 4" xfId="3951" xr:uid="{3044AF37-8B48-4CD2-A75F-730BDEBA375D}"/>
    <cellStyle name="20% - Accent3 2 2 2 4 2" xfId="6180" xr:uid="{EF9FA6BD-72F7-45D0-8762-7CF20A9D6759}"/>
    <cellStyle name="20% - Accent3 2 2 2 4 2 2" xfId="10398" xr:uid="{BE85FDFE-FE11-46AE-8296-E206BFFE5963}"/>
    <cellStyle name="20% - Accent3 2 2 2 4 3" xfId="8253" xr:uid="{00518BCC-B032-40ED-A5DA-064129A20FBA}"/>
    <cellStyle name="20% - Accent3 2 2 2 5" xfId="4364" xr:uid="{2EAC75EB-5F71-48A2-9697-FD3F7347D046}"/>
    <cellStyle name="20% - Accent3 2 2 2 5 2" xfId="6593" xr:uid="{2C9F28E9-6496-4F85-A3B3-661D440823D5}"/>
    <cellStyle name="20% - Accent3 2 2 2 5 2 2" xfId="10811" xr:uid="{04FCC6B3-5F65-4A73-A883-FFAE41F4791C}"/>
    <cellStyle name="20% - Accent3 2 2 2 5 3" xfId="8666" xr:uid="{F705C838-BCBA-40DA-9614-EA92D40E23BE}"/>
    <cellStyle name="20% - Accent3 2 2 2 6" xfId="4777" xr:uid="{B9BFE0D4-E19C-49E0-960F-3A026A6AAF9A}"/>
    <cellStyle name="20% - Accent3 2 2 2 6 2" xfId="9079" xr:uid="{A622B10F-3779-4F83-9685-BB91694F39A7}"/>
    <cellStyle name="20% - Accent3 2 2 2 7" xfId="7013" xr:uid="{79BEBD94-A474-4BC2-A974-50C4360ABF8B}"/>
    <cellStyle name="20% - Accent3 2 2 2 8" xfId="2709" xr:uid="{95E236A2-C7BF-422F-880D-3B22BBA9A565}"/>
    <cellStyle name="20% - Accent3 2 2 2 9" xfId="1880" xr:uid="{201249F9-341D-4D33-931F-52B9FD4E67ED}"/>
    <cellStyle name="20% - Accent3 2 2 3" xfId="596" xr:uid="{00000000-0005-0000-0000-000025000000}"/>
    <cellStyle name="20% - Accent3 2 2 3 2" xfId="5353" xr:uid="{2DC3FB12-B099-4963-A1A5-FE70C5A5162A}"/>
    <cellStyle name="20% - Accent3 2 2 3 2 2" xfId="9571" xr:uid="{47D2E4E7-CF4E-44B4-B097-1FA9473B6D60}"/>
    <cellStyle name="20% - Accent3 2 2 3 3" xfId="7426" xr:uid="{DCE674EA-136A-4FBD-A94E-546EDAB3EC30}"/>
    <cellStyle name="20% - Accent3 2 2 3 4" xfId="3122" xr:uid="{B2B70197-4BC5-4A98-BC89-9EE17AD73391}"/>
    <cellStyle name="20% - Accent3 2 2 3 5" xfId="2295" xr:uid="{7423B35C-2754-4260-B7B6-44132358C307}"/>
    <cellStyle name="20% - Accent3 2 2 3 6" xfId="1466" xr:uid="{87ECD10F-1989-4499-8C11-A56B70517971}"/>
    <cellStyle name="20% - Accent3 2 2 4" xfId="3537" xr:uid="{E10878C5-64E7-492F-8133-BEE01FC4F502}"/>
    <cellStyle name="20% - Accent3 2 2 4 2" xfId="5766" xr:uid="{763C2EA3-C4DE-4474-A791-E09D5A295254}"/>
    <cellStyle name="20% - Accent3 2 2 4 2 2" xfId="9984" xr:uid="{0726364B-3F48-40BB-9988-ED3ADFCAC48E}"/>
    <cellStyle name="20% - Accent3 2 2 4 3" xfId="7839" xr:uid="{5DFDB53A-C959-4B8D-AFAA-F26980CF00D4}"/>
    <cellStyle name="20% - Accent3 2 2 5" xfId="3950" xr:uid="{05376D3B-4732-4B65-9757-2A68AA0C5FD2}"/>
    <cellStyle name="20% - Accent3 2 2 5 2" xfId="6179" xr:uid="{7BDBB7EB-B13E-48B6-864C-96C714F64D6C}"/>
    <cellStyle name="20% - Accent3 2 2 5 2 2" xfId="10397" xr:uid="{485851B1-55A4-4D69-B8E4-241155CF7DBB}"/>
    <cellStyle name="20% - Accent3 2 2 5 3" xfId="8252" xr:uid="{2EE92BFD-4D3D-4B21-8FBC-F994F60D4E99}"/>
    <cellStyle name="20% - Accent3 2 2 6" xfId="4363" xr:uid="{AF3EF19F-EEFF-457B-9B13-F30FAFA0C109}"/>
    <cellStyle name="20% - Accent3 2 2 6 2" xfId="6592" xr:uid="{2C8488D9-44B7-46C6-B93B-5A50244A1536}"/>
    <cellStyle name="20% - Accent3 2 2 6 2 2" xfId="10810" xr:uid="{7993D1BC-F2BA-40B4-A1E1-75C8007C9150}"/>
    <cellStyle name="20% - Accent3 2 2 6 3" xfId="8665" xr:uid="{899B0AD7-B31E-42E3-BE4F-273A7CF16540}"/>
    <cellStyle name="20% - Accent3 2 2 7" xfId="4776" xr:uid="{E23110AA-4A87-4C88-9F04-ADA579DDC46C}"/>
    <cellStyle name="20% - Accent3 2 2 7 2" xfId="9078" xr:uid="{9F747C60-C99A-4A50-97AA-F6872C79A986}"/>
    <cellStyle name="20% - Accent3 2 2 8" xfId="7012" xr:uid="{884B4E91-3306-4432-9DB5-9009A11FCBF2}"/>
    <cellStyle name="20% - Accent3 2 2 9" xfId="2708" xr:uid="{6CFFE984-885A-4DE9-A0AE-FBF9FAAB5954}"/>
    <cellStyle name="20% - Accent3 2 3" xfId="21" xr:uid="{00000000-0005-0000-0000-000026000000}"/>
    <cellStyle name="20% - Accent3 2 3 10" xfId="1052" xr:uid="{EAB814F8-FB94-4B7A-9BF2-EF50741C3753}"/>
    <cellStyle name="20% - Accent3 2 3 2" xfId="598" xr:uid="{00000000-0005-0000-0000-000027000000}"/>
    <cellStyle name="20% - Accent3 2 3 2 2" xfId="5355" xr:uid="{3D3E5F52-9EF3-4B19-BD53-071780F141A4}"/>
    <cellStyle name="20% - Accent3 2 3 2 2 2" xfId="9573" xr:uid="{BC48CCDA-0A97-4D10-9D1D-8709D01B98C0}"/>
    <cellStyle name="20% - Accent3 2 3 2 3" xfId="7428" xr:uid="{2DC5A444-BD8B-412A-8DF9-E197D4D658C6}"/>
    <cellStyle name="20% - Accent3 2 3 2 4" xfId="3124" xr:uid="{33E8BF84-C335-478B-979F-EA15E1D46776}"/>
    <cellStyle name="20% - Accent3 2 3 2 5" xfId="2297" xr:uid="{DB80C4F2-A080-4C59-995E-8A8127D796BB}"/>
    <cellStyle name="20% - Accent3 2 3 2 6" xfId="1468" xr:uid="{9336D700-C522-446B-8D3E-A092415B43A0}"/>
    <cellStyle name="20% - Accent3 2 3 3" xfId="3539" xr:uid="{1D8D2991-2BF6-45C1-BCAC-B034769ECA5B}"/>
    <cellStyle name="20% - Accent3 2 3 3 2" xfId="5768" xr:uid="{6F63D85A-2BDF-4654-A71C-97F6B47281FF}"/>
    <cellStyle name="20% - Accent3 2 3 3 2 2" xfId="9986" xr:uid="{8470411F-7610-48C6-9A8B-C95457C98D68}"/>
    <cellStyle name="20% - Accent3 2 3 3 3" xfId="7841" xr:uid="{A57F6314-DB30-4EE1-A35F-F4EEF6F2A366}"/>
    <cellStyle name="20% - Accent3 2 3 4" xfId="3952" xr:uid="{CBAC77DA-565E-42E4-A9E6-2F99E8CABAAA}"/>
    <cellStyle name="20% - Accent3 2 3 4 2" xfId="6181" xr:uid="{23354C28-2113-49AE-A38E-F09AD76A8348}"/>
    <cellStyle name="20% - Accent3 2 3 4 2 2" xfId="10399" xr:uid="{F39EEB20-FD50-4864-8A48-EE2A8B6A8A84}"/>
    <cellStyle name="20% - Accent3 2 3 4 3" xfId="8254" xr:uid="{62BF85DE-BBD5-4C67-B3AE-9B142FC372D1}"/>
    <cellStyle name="20% - Accent3 2 3 5" xfId="4365" xr:uid="{C4B2E204-26A5-4195-97A7-E65A7F2F1793}"/>
    <cellStyle name="20% - Accent3 2 3 5 2" xfId="6594" xr:uid="{727A3977-F99C-464F-BAEC-BA8CFA353F50}"/>
    <cellStyle name="20% - Accent3 2 3 5 2 2" xfId="10812" xr:uid="{13D12FA7-53F3-4BBB-B4D5-06EE13350DBC}"/>
    <cellStyle name="20% - Accent3 2 3 5 3" xfId="8667" xr:uid="{AF387B45-A67B-4D64-A33E-A275E04962DE}"/>
    <cellStyle name="20% - Accent3 2 3 6" xfId="4778" xr:uid="{48B0EF8A-BDC8-42E1-ADD2-E0E892EC94FD}"/>
    <cellStyle name="20% - Accent3 2 3 6 2" xfId="9080" xr:uid="{35D653B9-EE54-4C56-9288-584F57AB51E7}"/>
    <cellStyle name="20% - Accent3 2 3 7" xfId="7014" xr:uid="{6B72BDE9-0FB8-4640-86D8-E34AA5FA6696}"/>
    <cellStyle name="20% - Accent3 2 3 8" xfId="2710" xr:uid="{7CADD5CF-7A60-4561-888E-AEB9758478EC}"/>
    <cellStyle name="20% - Accent3 2 3 9" xfId="1881" xr:uid="{AB8AE5E4-6B71-476C-AF3E-D4FE12F9163F}"/>
    <cellStyle name="20% - Accent3 2 4" xfId="595" xr:uid="{00000000-0005-0000-0000-000028000000}"/>
    <cellStyle name="20% - Accent3 2 4 2" xfId="5352" xr:uid="{A49B2339-8C16-431F-B6B2-264E1023E1C7}"/>
    <cellStyle name="20% - Accent3 2 4 2 2" xfId="9570" xr:uid="{D39F91AA-3DD6-4704-81AB-654AD6EBBD83}"/>
    <cellStyle name="20% - Accent3 2 4 3" xfId="7425" xr:uid="{D4F39E28-422D-4690-9E74-53C180E1A254}"/>
    <cellStyle name="20% - Accent3 2 4 4" xfId="3121" xr:uid="{B0B8FD20-DECE-4939-9108-1DD6C00FCA19}"/>
    <cellStyle name="20% - Accent3 2 4 5" xfId="2294" xr:uid="{A30978CD-182E-4857-85D2-19E4C71AAB46}"/>
    <cellStyle name="20% - Accent3 2 4 6" xfId="1465" xr:uid="{80D926FF-4106-45B3-8737-057765257A9A}"/>
    <cellStyle name="20% - Accent3 2 5" xfId="3536" xr:uid="{69F0BE3F-A2A3-4331-B4F3-555C70FBBC54}"/>
    <cellStyle name="20% - Accent3 2 5 2" xfId="5765" xr:uid="{CEF165BF-63DC-4185-99E1-AE0A7195E8F0}"/>
    <cellStyle name="20% - Accent3 2 5 2 2" xfId="9983" xr:uid="{CEFE865F-B940-4776-B30E-76BC6FBEAAB1}"/>
    <cellStyle name="20% - Accent3 2 5 3" xfId="7838" xr:uid="{824C3B52-3C47-4C38-90FB-DE6DBFB7E050}"/>
    <cellStyle name="20% - Accent3 2 6" xfId="3949" xr:uid="{6BD60C7C-ED69-4860-A30C-2708AB62A821}"/>
    <cellStyle name="20% - Accent3 2 6 2" xfId="6178" xr:uid="{212BF9E0-0A87-47D0-AE9C-247394B2CF23}"/>
    <cellStyle name="20% - Accent3 2 6 2 2" xfId="10396" xr:uid="{459019CB-6769-48BB-9791-7128F9BB4BD4}"/>
    <cellStyle name="20% - Accent3 2 6 3" xfId="8251" xr:uid="{6C7DF8CC-63BF-4187-AF5E-0A81999AB856}"/>
    <cellStyle name="20% - Accent3 2 7" xfId="4362" xr:uid="{72456494-9AC8-434E-B83E-5591E16E995F}"/>
    <cellStyle name="20% - Accent3 2 7 2" xfId="6591" xr:uid="{BC9B28DB-88F2-44A3-B263-39FBCB9AF7F1}"/>
    <cellStyle name="20% - Accent3 2 7 2 2" xfId="10809" xr:uid="{3124F722-11C8-41E2-95B6-364DBF3E9D2F}"/>
    <cellStyle name="20% - Accent3 2 7 3" xfId="8664" xr:uid="{AF58398A-1D10-4349-BD15-BB7F48556E89}"/>
    <cellStyle name="20% - Accent3 2 8" xfId="4775" xr:uid="{507A9D5A-EFF5-419D-8DD4-9A712D7DEC12}"/>
    <cellStyle name="20% - Accent3 2 8 2" xfId="9077" xr:uid="{F14C186F-2167-4E58-96AC-C8B31622CF31}"/>
    <cellStyle name="20% - Accent3 2 9" xfId="7011" xr:uid="{BBB5299A-170D-4470-B62E-46E3C8B6269B}"/>
    <cellStyle name="20% - Accent3 3" xfId="22" xr:uid="{00000000-0005-0000-0000-000029000000}"/>
    <cellStyle name="20% - Accent3 3 10" xfId="1882" xr:uid="{254914E9-1531-4F2C-BF83-BF74B0BC71F9}"/>
    <cellStyle name="20% - Accent3 3 11" xfId="1053" xr:uid="{89F0E29C-5D69-496D-AD20-AAAB226798C8}"/>
    <cellStyle name="20% - Accent3 3 2" xfId="23" xr:uid="{00000000-0005-0000-0000-00002A000000}"/>
    <cellStyle name="20% - Accent3 3 2 10" xfId="1054" xr:uid="{69B3E095-249C-4911-B289-41E3B96EC1EE}"/>
    <cellStyle name="20% - Accent3 3 2 2" xfId="600" xr:uid="{00000000-0005-0000-0000-00002B000000}"/>
    <cellStyle name="20% - Accent3 3 2 2 2" xfId="5357" xr:uid="{4FBB9C43-FF4A-41F0-9A12-860C6D8EE73B}"/>
    <cellStyle name="20% - Accent3 3 2 2 2 2" xfId="9575" xr:uid="{896E66D8-DE62-4710-89A1-298D77B1A5D1}"/>
    <cellStyle name="20% - Accent3 3 2 2 3" xfId="7430" xr:uid="{C858140C-A041-4735-9925-D4EE25B8A4A3}"/>
    <cellStyle name="20% - Accent3 3 2 2 4" xfId="3126" xr:uid="{BBA5CE7F-1810-4007-942B-FCE6CDB68C9D}"/>
    <cellStyle name="20% - Accent3 3 2 2 5" xfId="2299" xr:uid="{F091B271-3D3B-4998-BA2E-09722D2B1F9F}"/>
    <cellStyle name="20% - Accent3 3 2 2 6" xfId="1470" xr:uid="{A664168C-97AE-4769-8B54-F900DD810D38}"/>
    <cellStyle name="20% - Accent3 3 2 3" xfId="3541" xr:uid="{F2D02489-6277-4B5F-AB44-37D86FCCDBB2}"/>
    <cellStyle name="20% - Accent3 3 2 3 2" xfId="5770" xr:uid="{1965127A-77F0-4EB2-A3AC-98016DE758CE}"/>
    <cellStyle name="20% - Accent3 3 2 3 2 2" xfId="9988" xr:uid="{430D2047-C766-47EA-8535-18FD6709ED20}"/>
    <cellStyle name="20% - Accent3 3 2 3 3" xfId="7843" xr:uid="{0909FD66-0764-4EBA-90AA-AC5073DE0F18}"/>
    <cellStyle name="20% - Accent3 3 2 4" xfId="3954" xr:uid="{A9D4DBD1-BAD3-4309-BF78-C3CFA0E2B45F}"/>
    <cellStyle name="20% - Accent3 3 2 4 2" xfId="6183" xr:uid="{EB1E5E9E-E702-44F3-BE3F-B005ADE41F56}"/>
    <cellStyle name="20% - Accent3 3 2 4 2 2" xfId="10401" xr:uid="{D00F8495-443C-43D1-A101-22FDB2937D1E}"/>
    <cellStyle name="20% - Accent3 3 2 4 3" xfId="8256" xr:uid="{F81935EC-2366-4994-861D-19F362AF47C6}"/>
    <cellStyle name="20% - Accent3 3 2 5" xfId="4367" xr:uid="{18B72760-2F59-41EC-97CD-249645A4D976}"/>
    <cellStyle name="20% - Accent3 3 2 5 2" xfId="6596" xr:uid="{FBB1F740-9291-4419-A6B4-5AABEBB8E9C6}"/>
    <cellStyle name="20% - Accent3 3 2 5 2 2" xfId="10814" xr:uid="{0F1943C1-0313-4145-8DC0-3DEC8106738F}"/>
    <cellStyle name="20% - Accent3 3 2 5 3" xfId="8669" xr:uid="{6472CC6B-4243-4A54-BB65-06C91802AAD7}"/>
    <cellStyle name="20% - Accent3 3 2 6" xfId="4780" xr:uid="{5A82D8D3-1CAB-4097-8D46-EC22BA3871C0}"/>
    <cellStyle name="20% - Accent3 3 2 6 2" xfId="9082" xr:uid="{0DABFEBC-F1A9-4A1E-AD80-D426FAB036A3}"/>
    <cellStyle name="20% - Accent3 3 2 7" xfId="7016" xr:uid="{7F6FE375-D996-4137-A04B-53BE289B6234}"/>
    <cellStyle name="20% - Accent3 3 2 8" xfId="2712" xr:uid="{73E55CBA-CF43-4A65-8164-4BEBB74AFF7A}"/>
    <cellStyle name="20% - Accent3 3 2 9" xfId="1883" xr:uid="{0EAF09C6-0FC2-45E1-8C50-490C78525FA3}"/>
    <cellStyle name="20% - Accent3 3 3" xfId="599" xr:uid="{00000000-0005-0000-0000-00002C000000}"/>
    <cellStyle name="20% - Accent3 3 3 2" xfId="5356" xr:uid="{35285E44-13C1-486E-A23A-DEAADBB7CD77}"/>
    <cellStyle name="20% - Accent3 3 3 2 2" xfId="9574" xr:uid="{8CA09E4A-4E79-4E09-BBBD-3C8A74F5DBC9}"/>
    <cellStyle name="20% - Accent3 3 3 3" xfId="7429" xr:uid="{B8FB8936-0E2F-48CB-962C-FF93A7969FEF}"/>
    <cellStyle name="20% - Accent3 3 3 4" xfId="3125" xr:uid="{9E8F6728-F823-4401-9D1F-EA4A2CA9162F}"/>
    <cellStyle name="20% - Accent3 3 3 5" xfId="2298" xr:uid="{8B8DD882-7A45-4F48-88FE-7C7882F99193}"/>
    <cellStyle name="20% - Accent3 3 3 6" xfId="1469" xr:uid="{B438F7C0-8A0B-4DE1-8D39-B0DDC1BEF756}"/>
    <cellStyle name="20% - Accent3 3 4" xfId="3540" xr:uid="{663C5004-E11A-484A-8A2C-2FB678A577B3}"/>
    <cellStyle name="20% - Accent3 3 4 2" xfId="5769" xr:uid="{DCA937FC-C28E-4DA5-90D0-E8600F36D17C}"/>
    <cellStyle name="20% - Accent3 3 4 2 2" xfId="9987" xr:uid="{B4EDCB4D-CBCA-41A6-BF6F-B3DAA5E4D789}"/>
    <cellStyle name="20% - Accent3 3 4 3" xfId="7842" xr:uid="{8E7B471D-16DB-4B64-8018-B455A437D776}"/>
    <cellStyle name="20% - Accent3 3 5" xfId="3953" xr:uid="{3B2B6B83-EF3A-4EB1-BC18-6C8A1B63D84A}"/>
    <cellStyle name="20% - Accent3 3 5 2" xfId="6182" xr:uid="{C1B1E141-D2A7-4473-899D-E549E50BBB4D}"/>
    <cellStyle name="20% - Accent3 3 5 2 2" xfId="10400" xr:uid="{903F8E38-CEC1-4421-B48F-42523156DEBE}"/>
    <cellStyle name="20% - Accent3 3 5 3" xfId="8255" xr:uid="{41FD6E0C-5978-4CB5-921B-C9F9526E61F5}"/>
    <cellStyle name="20% - Accent3 3 6" xfId="4366" xr:uid="{75049E9F-947C-49FF-B77C-ED162FC00BDA}"/>
    <cellStyle name="20% - Accent3 3 6 2" xfId="6595" xr:uid="{721F5230-873A-4F3F-BB34-C84A6856AA44}"/>
    <cellStyle name="20% - Accent3 3 6 2 2" xfId="10813" xr:uid="{D4DA5433-0D3F-4C90-9C9B-8520E069D733}"/>
    <cellStyle name="20% - Accent3 3 6 3" xfId="8668" xr:uid="{0827B462-A4C7-4347-9716-A60095BB899A}"/>
    <cellStyle name="20% - Accent3 3 7" xfId="4779" xr:uid="{2AF3292B-7FDE-4CCF-8705-1CE55A2741B4}"/>
    <cellStyle name="20% - Accent3 3 7 2" xfId="9081" xr:uid="{69701035-DC5C-4D91-B2EF-732B33B3FC3F}"/>
    <cellStyle name="20% - Accent3 3 8" xfId="7015" xr:uid="{65EB323A-1177-4383-9184-AB90D81B5AE5}"/>
    <cellStyle name="20% - Accent3 3 9" xfId="2711" xr:uid="{ECE70E97-DBB9-4C75-8AFC-95E3EFD33BB8}"/>
    <cellStyle name="20% - Accent3 4" xfId="24" xr:uid="{00000000-0005-0000-0000-00002D000000}"/>
    <cellStyle name="20% - Accent3 4 10" xfId="1055" xr:uid="{3FEE3861-ABE9-4E21-B5ED-50281F927876}"/>
    <cellStyle name="20% - Accent3 4 2" xfId="601" xr:uid="{00000000-0005-0000-0000-00002E000000}"/>
    <cellStyle name="20% - Accent3 4 2 2" xfId="5358" xr:uid="{A8B96722-3E9F-4323-8967-0A00318C2BC0}"/>
    <cellStyle name="20% - Accent3 4 2 2 2" xfId="9576" xr:uid="{4B24EE75-3147-46AF-8D00-0F46A6973D97}"/>
    <cellStyle name="20% - Accent3 4 2 3" xfId="7431" xr:uid="{C8B8BB9E-C3B2-42EE-8D99-E8BB84F4508C}"/>
    <cellStyle name="20% - Accent3 4 2 4" xfId="3127" xr:uid="{6ECC602D-A39F-46B6-98CE-E978589B265E}"/>
    <cellStyle name="20% - Accent3 4 2 5" xfId="2300" xr:uid="{8B4D08E1-56D2-4F5C-A05B-129507DC8AD7}"/>
    <cellStyle name="20% - Accent3 4 2 6" xfId="1471" xr:uid="{D7709A26-54BD-4E7E-9BFD-055B2B749150}"/>
    <cellStyle name="20% - Accent3 4 3" xfId="3542" xr:uid="{8833A644-E3A1-485E-923B-3283DED5BEAA}"/>
    <cellStyle name="20% - Accent3 4 3 2" xfId="5771" xr:uid="{90A1B4ED-FA90-4B54-B428-D9E9C79E603E}"/>
    <cellStyle name="20% - Accent3 4 3 2 2" xfId="9989" xr:uid="{F1660E92-CBF5-4B4D-99D0-A8893639ED50}"/>
    <cellStyle name="20% - Accent3 4 3 3" xfId="7844" xr:uid="{0F2B7410-7D4E-4D2E-9D0E-5D6BC5D12A96}"/>
    <cellStyle name="20% - Accent3 4 4" xfId="3955" xr:uid="{C55ED7B0-8072-41C4-9787-64E411780FDC}"/>
    <cellStyle name="20% - Accent3 4 4 2" xfId="6184" xr:uid="{BBD4C4CF-8370-449A-B26D-B2C24B70977C}"/>
    <cellStyle name="20% - Accent3 4 4 2 2" xfId="10402" xr:uid="{F3D9C3A3-AAE9-46B7-A037-F943F50A2D26}"/>
    <cellStyle name="20% - Accent3 4 4 3" xfId="8257" xr:uid="{9AD0150A-EA3F-4AFC-ADCC-4808F579F4DB}"/>
    <cellStyle name="20% - Accent3 4 5" xfId="4368" xr:uid="{985B529B-CC4A-40BB-B34D-C211D4504955}"/>
    <cellStyle name="20% - Accent3 4 5 2" xfId="6597" xr:uid="{F7D4C794-7B57-43E0-9425-D6BC34349DC1}"/>
    <cellStyle name="20% - Accent3 4 5 2 2" xfId="10815" xr:uid="{9AB07A2F-A98B-4690-8AAB-178970819134}"/>
    <cellStyle name="20% - Accent3 4 5 3" xfId="8670" xr:uid="{FC0F1E5B-0F88-4069-8C94-A2BBD7C24463}"/>
    <cellStyle name="20% - Accent3 4 6" xfId="4781" xr:uid="{CAB44BCB-9FEE-4A8E-A288-8F2672196DC7}"/>
    <cellStyle name="20% - Accent3 4 6 2" xfId="9083" xr:uid="{D80CAAEC-4BA2-4B9A-B25C-2A18D5CC8991}"/>
    <cellStyle name="20% - Accent3 4 7" xfId="7017" xr:uid="{938A6AE3-1695-4FC6-94A6-F41164756CDD}"/>
    <cellStyle name="20% - Accent3 4 8" xfId="2713" xr:uid="{B9B14C24-98B3-47EB-BA27-E9263AA331B4}"/>
    <cellStyle name="20% - Accent3 4 9" xfId="1884" xr:uid="{72E4B95F-1817-4696-924D-EAB948E0E376}"/>
    <cellStyle name="20% - Accent3 5" xfId="594" xr:uid="{00000000-0005-0000-0000-00002F000000}"/>
    <cellStyle name="20% - Accent3 5 2" xfId="5351" xr:uid="{F2C97888-585E-4339-BBB1-E7CE19C821C7}"/>
    <cellStyle name="20% - Accent3 5 2 2" xfId="9569" xr:uid="{330D1258-5C03-4658-A9BD-00DA2F132D36}"/>
    <cellStyle name="20% - Accent3 5 3" xfId="7424" xr:uid="{46C29EA5-8932-44DE-A70A-4ECB2269C709}"/>
    <cellStyle name="20% - Accent3 5 4" xfId="3120" xr:uid="{7864E0D1-9A4C-48F8-AD2D-64718A61A25D}"/>
    <cellStyle name="20% - Accent3 5 5" xfId="2293" xr:uid="{F5AD6217-83FA-4BB3-87B3-F5CE016AD168}"/>
    <cellStyle name="20% - Accent3 5 6" xfId="1464" xr:uid="{2BD2AE08-E279-4766-9E4E-6B565BD4EA2B}"/>
    <cellStyle name="20% - Accent3 6" xfId="3535" xr:uid="{3E28A963-1D1D-44C7-8FBF-66C83ECA7596}"/>
    <cellStyle name="20% - Accent3 6 2" xfId="5764" xr:uid="{8B4F5350-9BF4-42E0-96E2-EFECFAF0FD82}"/>
    <cellStyle name="20% - Accent3 6 2 2" xfId="9982" xr:uid="{C398044D-EEAC-4556-B356-B21BDB6D9192}"/>
    <cellStyle name="20% - Accent3 6 3" xfId="7837" xr:uid="{0E4E1574-903D-43B4-B970-99057D98C4C4}"/>
    <cellStyle name="20% - Accent3 7" xfId="3948" xr:uid="{B0B61E21-CDF7-49EF-901A-79FA79195994}"/>
    <cellStyle name="20% - Accent3 7 2" xfId="6177" xr:uid="{EFD1D14C-1B2E-4BA0-A0E8-1535D08A3760}"/>
    <cellStyle name="20% - Accent3 7 2 2" xfId="10395" xr:uid="{F3A43CB8-EC87-413E-9B14-8DCF10EE7BD5}"/>
    <cellStyle name="20% - Accent3 7 3" xfId="8250" xr:uid="{15B8E44D-43BE-4329-BD4A-3D3E6562891D}"/>
    <cellStyle name="20% - Accent3 8" xfId="4361" xr:uid="{ED222D12-0F01-4084-B3F1-128552B01C00}"/>
    <cellStyle name="20% - Accent3 8 2" xfId="6590" xr:uid="{9630A667-1BFE-4EFA-8057-F7147CEFD962}"/>
    <cellStyle name="20% - Accent3 8 2 2" xfId="10808" xr:uid="{3F164BF4-AB0E-4C49-9246-AC6C7D7B376D}"/>
    <cellStyle name="20% - Accent3 8 3" xfId="8663" xr:uid="{EB5B6E71-B2F5-417A-ABBD-FE9FF42ACEA9}"/>
    <cellStyle name="20% - Accent3 9" xfId="4774" xr:uid="{6F6B1BA9-264C-4FF9-9A57-C661AC7EE6B2}"/>
    <cellStyle name="20% - Accent3 9 2" xfId="9076" xr:uid="{99D42134-AFDD-4606-A778-1FC6D7AC559A}"/>
    <cellStyle name="20% - Accent4" xfId="25" builtinId="42" customBuiltin="1"/>
    <cellStyle name="20% - Accent4 10" xfId="7018" xr:uid="{CF48E373-F102-4350-9036-D0B0C9FE4493}"/>
    <cellStyle name="20% - Accent4 11" xfId="2714" xr:uid="{B7424A62-224A-4BF1-A1D1-028AB6FBB593}"/>
    <cellStyle name="20% - Accent4 12" xfId="1885" xr:uid="{280B078F-49E2-48F7-896E-979560DA30B8}"/>
    <cellStyle name="20% - Accent4 13" xfId="1056" xr:uid="{FD406801-E7D0-49D6-9EFF-5A439DB815FF}"/>
    <cellStyle name="20% - Accent4 2" xfId="26" xr:uid="{00000000-0005-0000-0000-000031000000}"/>
    <cellStyle name="20% - Accent4 2 10" xfId="2715" xr:uid="{768B8E17-37A1-4874-9B6B-ABFCE48C999D}"/>
    <cellStyle name="20% - Accent4 2 11" xfId="1886" xr:uid="{9397F470-F7F7-4E67-90C7-2E55FCDDD4E7}"/>
    <cellStyle name="20% - Accent4 2 12" xfId="1057" xr:uid="{4EEC8B30-BD4C-4AB6-AC27-D1BA4B746371}"/>
    <cellStyle name="20% - Accent4 2 2" xfId="27" xr:uid="{00000000-0005-0000-0000-000032000000}"/>
    <cellStyle name="20% - Accent4 2 2 10" xfId="1887" xr:uid="{0FA3DA1A-5DE7-47EF-BB3D-9AE2F3943136}"/>
    <cellStyle name="20% - Accent4 2 2 11" xfId="1058" xr:uid="{75AAD23A-EDD6-407B-9194-99E777D0249C}"/>
    <cellStyle name="20% - Accent4 2 2 2" xfId="28" xr:uid="{00000000-0005-0000-0000-000033000000}"/>
    <cellStyle name="20% - Accent4 2 2 2 10" xfId="1059" xr:uid="{576EDE9B-6C95-42D7-8374-F7F27BBAF7B2}"/>
    <cellStyle name="20% - Accent4 2 2 2 2" xfId="605" xr:uid="{00000000-0005-0000-0000-000034000000}"/>
    <cellStyle name="20% - Accent4 2 2 2 2 2" xfId="5362" xr:uid="{BB1463E2-AFCC-4583-BFE5-5D02D69FC971}"/>
    <cellStyle name="20% - Accent4 2 2 2 2 2 2" xfId="9580" xr:uid="{678C9CE1-BFCA-4D60-B14D-2013CF657FD1}"/>
    <cellStyle name="20% - Accent4 2 2 2 2 3" xfId="7435" xr:uid="{76AC5E4C-947B-4A96-AE37-0C78AC634BAE}"/>
    <cellStyle name="20% - Accent4 2 2 2 2 4" xfId="3131" xr:uid="{EE8A9CBB-A428-4599-9C21-17C314C34122}"/>
    <cellStyle name="20% - Accent4 2 2 2 2 5" xfId="2304" xr:uid="{D078CB93-4BF8-4838-A698-C9E2FE704263}"/>
    <cellStyle name="20% - Accent4 2 2 2 2 6" xfId="1475" xr:uid="{2CD73A43-B7F5-4283-8299-45DACFE86D4B}"/>
    <cellStyle name="20% - Accent4 2 2 2 3" xfId="3546" xr:uid="{A5D0CAFA-6870-4034-8972-45E3171027F8}"/>
    <cellStyle name="20% - Accent4 2 2 2 3 2" xfId="5775" xr:uid="{DD258EC4-98DE-4C14-B79E-C57DAF3B31C2}"/>
    <cellStyle name="20% - Accent4 2 2 2 3 2 2" xfId="9993" xr:uid="{FF41F95E-AB94-4573-A23A-C23222C52069}"/>
    <cellStyle name="20% - Accent4 2 2 2 3 3" xfId="7848" xr:uid="{7D44A256-18DE-449B-AF22-33561A17BEDA}"/>
    <cellStyle name="20% - Accent4 2 2 2 4" xfId="3959" xr:uid="{735ACEB6-B443-4B84-985B-3A4B77978CFA}"/>
    <cellStyle name="20% - Accent4 2 2 2 4 2" xfId="6188" xr:uid="{E7A56CFE-CD79-4CCC-968A-C1CFBA7B2856}"/>
    <cellStyle name="20% - Accent4 2 2 2 4 2 2" xfId="10406" xr:uid="{518F589B-2552-4DDC-87D5-AC47299FA8E3}"/>
    <cellStyle name="20% - Accent4 2 2 2 4 3" xfId="8261" xr:uid="{80711DE4-4C6C-4E54-AE69-31F45C873781}"/>
    <cellStyle name="20% - Accent4 2 2 2 5" xfId="4372" xr:uid="{174D9951-7595-4869-BC94-CB71813E7CF9}"/>
    <cellStyle name="20% - Accent4 2 2 2 5 2" xfId="6601" xr:uid="{0301695C-C8CB-4A95-9630-B7D4D5488062}"/>
    <cellStyle name="20% - Accent4 2 2 2 5 2 2" xfId="10819" xr:uid="{E0909BB2-36FA-4E68-8C79-63BD4D1A1F86}"/>
    <cellStyle name="20% - Accent4 2 2 2 5 3" xfId="8674" xr:uid="{4C0C8B5C-2441-4294-B74D-6E32E2410C3E}"/>
    <cellStyle name="20% - Accent4 2 2 2 6" xfId="4785" xr:uid="{F6B66907-D465-46DF-ABDF-8E07527BFB5E}"/>
    <cellStyle name="20% - Accent4 2 2 2 6 2" xfId="9087" xr:uid="{3AF3FD18-9CEF-44F5-A799-5C8B32D41759}"/>
    <cellStyle name="20% - Accent4 2 2 2 7" xfId="7021" xr:uid="{EF869B07-056D-4394-AA2E-0A3DCB123CB2}"/>
    <cellStyle name="20% - Accent4 2 2 2 8" xfId="2717" xr:uid="{3F2F820D-18F8-47F8-9CFB-B33B7C3C5E85}"/>
    <cellStyle name="20% - Accent4 2 2 2 9" xfId="1888" xr:uid="{7C8535F2-DA77-4427-B456-9E77ED5A7252}"/>
    <cellStyle name="20% - Accent4 2 2 3" xfId="604" xr:uid="{00000000-0005-0000-0000-000035000000}"/>
    <cellStyle name="20% - Accent4 2 2 3 2" xfId="5361" xr:uid="{E11F1F57-1047-4AA8-B792-A170461DAF22}"/>
    <cellStyle name="20% - Accent4 2 2 3 2 2" xfId="9579" xr:uid="{AF5D7A96-B57C-4372-AAB4-17CA3F98ADA2}"/>
    <cellStyle name="20% - Accent4 2 2 3 3" xfId="7434" xr:uid="{EA5A03F5-C4BA-4FFF-B9C8-F86762C85EA4}"/>
    <cellStyle name="20% - Accent4 2 2 3 4" xfId="3130" xr:uid="{C16924F7-94AB-4C62-A57A-EAADF600FC63}"/>
    <cellStyle name="20% - Accent4 2 2 3 5" xfId="2303" xr:uid="{173DD937-0E78-4689-A0AB-797C97416A09}"/>
    <cellStyle name="20% - Accent4 2 2 3 6" xfId="1474" xr:uid="{B0C37181-EDDF-4E89-848E-C97199EC2D62}"/>
    <cellStyle name="20% - Accent4 2 2 4" xfId="3545" xr:uid="{0F4AADD9-2BD5-4284-9608-09426E9A27AE}"/>
    <cellStyle name="20% - Accent4 2 2 4 2" xfId="5774" xr:uid="{61E0C85C-3EB9-495F-BF05-5E6E18C3E37D}"/>
    <cellStyle name="20% - Accent4 2 2 4 2 2" xfId="9992" xr:uid="{84FB4DC0-F70F-4BDD-9723-BE5F130DED46}"/>
    <cellStyle name="20% - Accent4 2 2 4 3" xfId="7847" xr:uid="{61503FAE-A1F1-4B38-AFC1-B2B0E44F8506}"/>
    <cellStyle name="20% - Accent4 2 2 5" xfId="3958" xr:uid="{4985A63C-433B-45B9-9E00-4C43D1E20E06}"/>
    <cellStyle name="20% - Accent4 2 2 5 2" xfId="6187" xr:uid="{ECDE56D7-98E8-426C-9CB0-6F026C196A67}"/>
    <cellStyle name="20% - Accent4 2 2 5 2 2" xfId="10405" xr:uid="{B7B5F28A-AD93-408A-B85A-9C9CA9A15E67}"/>
    <cellStyle name="20% - Accent4 2 2 5 3" xfId="8260" xr:uid="{C6AA76B2-42FC-4D4D-8504-91CBA8AC653D}"/>
    <cellStyle name="20% - Accent4 2 2 6" xfId="4371" xr:uid="{CC4C3B02-DC2A-4633-9411-BDF99FDF5B63}"/>
    <cellStyle name="20% - Accent4 2 2 6 2" xfId="6600" xr:uid="{9B1E8CB4-3763-456C-8213-33E3665EB61B}"/>
    <cellStyle name="20% - Accent4 2 2 6 2 2" xfId="10818" xr:uid="{E2E2AC4C-9E9E-4E42-ADC6-AA0B37D84CBD}"/>
    <cellStyle name="20% - Accent4 2 2 6 3" xfId="8673" xr:uid="{E512F66E-9339-4414-A084-E9893A7487F4}"/>
    <cellStyle name="20% - Accent4 2 2 7" xfId="4784" xr:uid="{2D06C40C-A2C1-4D02-AA23-A20962EF0B99}"/>
    <cellStyle name="20% - Accent4 2 2 7 2" xfId="9086" xr:uid="{4922B16F-520D-4BF6-A0E0-883263F0E734}"/>
    <cellStyle name="20% - Accent4 2 2 8" xfId="7020" xr:uid="{616FECB5-BF14-4086-A26C-0B2F656F3B5B}"/>
    <cellStyle name="20% - Accent4 2 2 9" xfId="2716" xr:uid="{5E8F4DF5-3AD0-4488-B757-F2D57FC7EC43}"/>
    <cellStyle name="20% - Accent4 2 3" xfId="29" xr:uid="{00000000-0005-0000-0000-000036000000}"/>
    <cellStyle name="20% - Accent4 2 3 10" xfId="1060" xr:uid="{C51FD03B-0B14-4BCA-99D4-44EB07D3DC67}"/>
    <cellStyle name="20% - Accent4 2 3 2" xfId="606" xr:uid="{00000000-0005-0000-0000-000037000000}"/>
    <cellStyle name="20% - Accent4 2 3 2 2" xfId="5363" xr:uid="{530008CC-B956-4636-8BA9-4A0F8B90642C}"/>
    <cellStyle name="20% - Accent4 2 3 2 2 2" xfId="9581" xr:uid="{AC5C404D-8D4E-4F80-93DF-47BB56FB30A4}"/>
    <cellStyle name="20% - Accent4 2 3 2 3" xfId="7436" xr:uid="{E3F5A2A7-871B-4D30-AE3E-797455774C98}"/>
    <cellStyle name="20% - Accent4 2 3 2 4" xfId="3132" xr:uid="{8E4E1AB5-9575-43B4-98C3-B89CABA1B96E}"/>
    <cellStyle name="20% - Accent4 2 3 2 5" xfId="2305" xr:uid="{B1EB8223-7258-4A45-BB51-83822CE268FC}"/>
    <cellStyle name="20% - Accent4 2 3 2 6" xfId="1476" xr:uid="{FAA1436C-5967-417C-B2E2-7B6E990B7D4C}"/>
    <cellStyle name="20% - Accent4 2 3 3" xfId="3547" xr:uid="{EA0CC4CE-EAC7-4382-A954-7AFE1B216039}"/>
    <cellStyle name="20% - Accent4 2 3 3 2" xfId="5776" xr:uid="{E82C625F-3021-4409-B3AA-317F8AD556C2}"/>
    <cellStyle name="20% - Accent4 2 3 3 2 2" xfId="9994" xr:uid="{1BAF13A6-E19E-42F2-8843-9F4A21638628}"/>
    <cellStyle name="20% - Accent4 2 3 3 3" xfId="7849" xr:uid="{D637BAE1-BC49-4470-AB1A-FCD43EBB5AFE}"/>
    <cellStyle name="20% - Accent4 2 3 4" xfId="3960" xr:uid="{EF3FF0AD-7CBF-4C98-8C85-D0EC92B53042}"/>
    <cellStyle name="20% - Accent4 2 3 4 2" xfId="6189" xr:uid="{EE3EB1A5-8639-49C7-9494-A073843027F3}"/>
    <cellStyle name="20% - Accent4 2 3 4 2 2" xfId="10407" xr:uid="{4ACECF59-5A0C-4F49-A117-144A9755E0E9}"/>
    <cellStyle name="20% - Accent4 2 3 4 3" xfId="8262" xr:uid="{C9B11169-EAD1-45A3-9C6C-1C5B69C7A390}"/>
    <cellStyle name="20% - Accent4 2 3 5" xfId="4373" xr:uid="{D230E561-F0AB-487A-9916-FBD6A1D9F670}"/>
    <cellStyle name="20% - Accent4 2 3 5 2" xfId="6602" xr:uid="{A6B43057-7DF6-4B4A-BEBD-01BAD8164D58}"/>
    <cellStyle name="20% - Accent4 2 3 5 2 2" xfId="10820" xr:uid="{51108A54-0298-4863-8F9A-1CEDADFCBB62}"/>
    <cellStyle name="20% - Accent4 2 3 5 3" xfId="8675" xr:uid="{D8174058-BC58-42BD-B936-C6ACA9E7A8AB}"/>
    <cellStyle name="20% - Accent4 2 3 6" xfId="4786" xr:uid="{B27A1DF3-B574-482C-84A1-15417A22C5F3}"/>
    <cellStyle name="20% - Accent4 2 3 6 2" xfId="9088" xr:uid="{E870C9BB-C74A-4124-B441-78F714975826}"/>
    <cellStyle name="20% - Accent4 2 3 7" xfId="7022" xr:uid="{509CACCF-9B81-4F83-A646-A46DD4FE43B4}"/>
    <cellStyle name="20% - Accent4 2 3 8" xfId="2718" xr:uid="{87BD2DD8-214C-4CEA-ACC5-836193C95B81}"/>
    <cellStyle name="20% - Accent4 2 3 9" xfId="1889" xr:uid="{9A0C5E6B-EE95-440D-B9F7-5D5622F2E949}"/>
    <cellStyle name="20% - Accent4 2 4" xfId="603" xr:uid="{00000000-0005-0000-0000-000038000000}"/>
    <cellStyle name="20% - Accent4 2 4 2" xfId="5360" xr:uid="{227E231C-03DC-4CC6-AD2B-544A43EA0BA8}"/>
    <cellStyle name="20% - Accent4 2 4 2 2" xfId="9578" xr:uid="{BB0DC48C-9E1E-4B87-BBC9-DD90DBC172B5}"/>
    <cellStyle name="20% - Accent4 2 4 3" xfId="7433" xr:uid="{1F41943C-BDD7-45AF-8D64-59019001FCF8}"/>
    <cellStyle name="20% - Accent4 2 4 4" xfId="3129" xr:uid="{7FCD587F-5A4F-43F3-8921-513C4E7B8AE7}"/>
    <cellStyle name="20% - Accent4 2 4 5" xfId="2302" xr:uid="{E989CA15-4D04-4805-9B64-1A2F0F194EBF}"/>
    <cellStyle name="20% - Accent4 2 4 6" xfId="1473" xr:uid="{880E7251-C80D-4576-98BA-184F9F32BE33}"/>
    <cellStyle name="20% - Accent4 2 5" xfId="3544" xr:uid="{D4EFC2FB-D839-42BF-AA9C-98C388CBBBF5}"/>
    <cellStyle name="20% - Accent4 2 5 2" xfId="5773" xr:uid="{D8B00E5B-C5CB-414F-9657-7B41698AE721}"/>
    <cellStyle name="20% - Accent4 2 5 2 2" xfId="9991" xr:uid="{5014E786-9D15-4249-B2B0-80AFDCAE91B9}"/>
    <cellStyle name="20% - Accent4 2 5 3" xfId="7846" xr:uid="{654699FA-0D71-48BF-9343-56CD96E22128}"/>
    <cellStyle name="20% - Accent4 2 6" xfId="3957" xr:uid="{B8BFFD8E-6193-456B-B1A9-2BF7C42A2752}"/>
    <cellStyle name="20% - Accent4 2 6 2" xfId="6186" xr:uid="{9395AAFD-1F29-4E74-8C40-74811F3F2DE7}"/>
    <cellStyle name="20% - Accent4 2 6 2 2" xfId="10404" xr:uid="{1F72A48B-EAE7-4D93-86C3-4776BE710830}"/>
    <cellStyle name="20% - Accent4 2 6 3" xfId="8259" xr:uid="{4E28832D-9773-424F-B842-4606CFFD1626}"/>
    <cellStyle name="20% - Accent4 2 7" xfId="4370" xr:uid="{60CEB7BE-C3EC-4C34-996C-80CFB651CB8A}"/>
    <cellStyle name="20% - Accent4 2 7 2" xfId="6599" xr:uid="{44B7FA03-EC8D-4C6F-AF4B-A9AC3DE407A3}"/>
    <cellStyle name="20% - Accent4 2 7 2 2" xfId="10817" xr:uid="{EF0130AA-AFAB-481A-B22D-59776A221B16}"/>
    <cellStyle name="20% - Accent4 2 7 3" xfId="8672" xr:uid="{B068EBE4-3F01-4E00-A33F-6C2ECDE1E49A}"/>
    <cellStyle name="20% - Accent4 2 8" xfId="4783" xr:uid="{BE8C271E-EAFB-4B69-BD54-A4EA10BF5D24}"/>
    <cellStyle name="20% - Accent4 2 8 2" xfId="9085" xr:uid="{3499C3FD-ED04-423D-B632-7333829B32D0}"/>
    <cellStyle name="20% - Accent4 2 9" xfId="7019" xr:uid="{C3438253-F64C-40BE-94C8-F1D889FA7EE8}"/>
    <cellStyle name="20% - Accent4 3" xfId="30" xr:uid="{00000000-0005-0000-0000-000039000000}"/>
    <cellStyle name="20% - Accent4 3 10" xfId="1890" xr:uid="{AC1E5E77-EE48-4ECA-B56F-8EAB87B6D0AE}"/>
    <cellStyle name="20% - Accent4 3 11" xfId="1061" xr:uid="{E849A775-E66E-4B54-8C0C-89C7AF7AA0A3}"/>
    <cellStyle name="20% - Accent4 3 2" xfId="31" xr:uid="{00000000-0005-0000-0000-00003A000000}"/>
    <cellStyle name="20% - Accent4 3 2 10" xfId="1062" xr:uid="{A73684D1-19DF-4A53-B613-5E2EF7794850}"/>
    <cellStyle name="20% - Accent4 3 2 2" xfId="608" xr:uid="{00000000-0005-0000-0000-00003B000000}"/>
    <cellStyle name="20% - Accent4 3 2 2 2" xfId="5365" xr:uid="{FC8BE857-CB9D-46C6-A952-001CB4C4BA1D}"/>
    <cellStyle name="20% - Accent4 3 2 2 2 2" xfId="9583" xr:uid="{E7143F50-F3F8-4AFC-B93B-FB387334DAC9}"/>
    <cellStyle name="20% - Accent4 3 2 2 3" xfId="7438" xr:uid="{47587F96-B4C3-4525-9AD2-88AB5B4392F9}"/>
    <cellStyle name="20% - Accent4 3 2 2 4" xfId="3134" xr:uid="{4CF2066A-0F62-4870-8565-8B0FFA835CC6}"/>
    <cellStyle name="20% - Accent4 3 2 2 5" xfId="2307" xr:uid="{84A3DBD6-FC88-4F00-AA20-9A692017CC49}"/>
    <cellStyle name="20% - Accent4 3 2 2 6" xfId="1478" xr:uid="{C985EDDF-3BF1-41DF-BC1C-2E3D1208DAF9}"/>
    <cellStyle name="20% - Accent4 3 2 3" xfId="3549" xr:uid="{9E65F501-7CD1-4C92-920F-E108F35A009E}"/>
    <cellStyle name="20% - Accent4 3 2 3 2" xfId="5778" xr:uid="{198829B7-6A8C-469E-B660-06101236737F}"/>
    <cellStyle name="20% - Accent4 3 2 3 2 2" xfId="9996" xr:uid="{4BE63E19-5303-4DF1-86B3-E5451EF6C6DC}"/>
    <cellStyle name="20% - Accent4 3 2 3 3" xfId="7851" xr:uid="{F4C42B93-6E9E-4C5C-A174-1CA44705FBF1}"/>
    <cellStyle name="20% - Accent4 3 2 4" xfId="3962" xr:uid="{959CF49C-D04D-422C-BA13-6FE6AC37C6F2}"/>
    <cellStyle name="20% - Accent4 3 2 4 2" xfId="6191" xr:uid="{DD29736D-FEBD-440B-B7B5-6D002924FEE7}"/>
    <cellStyle name="20% - Accent4 3 2 4 2 2" xfId="10409" xr:uid="{5EA6CA2B-0A64-45DF-A21F-083505FA7088}"/>
    <cellStyle name="20% - Accent4 3 2 4 3" xfId="8264" xr:uid="{F5157DEE-F6E4-42A8-9F7F-FB09EF6CC288}"/>
    <cellStyle name="20% - Accent4 3 2 5" xfId="4375" xr:uid="{35C60327-65D7-4EB7-8B08-265B0AFC18EB}"/>
    <cellStyle name="20% - Accent4 3 2 5 2" xfId="6604" xr:uid="{24CBD2B1-B411-4A30-97F1-BCFA518BE907}"/>
    <cellStyle name="20% - Accent4 3 2 5 2 2" xfId="10822" xr:uid="{C81502F1-C5C7-4976-A03F-9907F97AB856}"/>
    <cellStyle name="20% - Accent4 3 2 5 3" xfId="8677" xr:uid="{4B230E04-6A4F-48AA-A113-E351FDEA9B37}"/>
    <cellStyle name="20% - Accent4 3 2 6" xfId="4788" xr:uid="{BBC88464-3849-49B9-BC7E-8693B7B29232}"/>
    <cellStyle name="20% - Accent4 3 2 6 2" xfId="9090" xr:uid="{566D76A8-423C-4756-8129-E405D8CFF064}"/>
    <cellStyle name="20% - Accent4 3 2 7" xfId="7024" xr:uid="{F734C4C3-0B81-42B0-90CB-F32E6DDC37C5}"/>
    <cellStyle name="20% - Accent4 3 2 8" xfId="2720" xr:uid="{A745EA93-FC98-4027-A448-5F644B28F2AF}"/>
    <cellStyle name="20% - Accent4 3 2 9" xfId="1891" xr:uid="{6FE9E81B-BB58-4E81-B5F4-891C6CBC44E5}"/>
    <cellStyle name="20% - Accent4 3 3" xfId="607" xr:uid="{00000000-0005-0000-0000-00003C000000}"/>
    <cellStyle name="20% - Accent4 3 3 2" xfId="5364" xr:uid="{6A04532C-FADF-45C1-AFB9-14A945412564}"/>
    <cellStyle name="20% - Accent4 3 3 2 2" xfId="9582" xr:uid="{7C94CFE4-5A42-4C7C-9524-5CA8C9639925}"/>
    <cellStyle name="20% - Accent4 3 3 3" xfId="7437" xr:uid="{4BB6F3BE-161F-403A-8B4E-026CC7DF4B7D}"/>
    <cellStyle name="20% - Accent4 3 3 4" xfId="3133" xr:uid="{CCA103AF-6AE2-45B8-874D-1C822C7E5055}"/>
    <cellStyle name="20% - Accent4 3 3 5" xfId="2306" xr:uid="{8195ABC7-00BE-45C4-85D1-B840392EF279}"/>
    <cellStyle name="20% - Accent4 3 3 6" xfId="1477" xr:uid="{70287CB5-8522-4F09-AD0B-57C68B38BB1A}"/>
    <cellStyle name="20% - Accent4 3 4" xfId="3548" xr:uid="{7D7A96D9-30B7-4FEC-80F6-FF4492351A45}"/>
    <cellStyle name="20% - Accent4 3 4 2" xfId="5777" xr:uid="{5906138F-460E-4915-8A95-BC296D732389}"/>
    <cellStyle name="20% - Accent4 3 4 2 2" xfId="9995" xr:uid="{7C30ADE4-C3B5-46F0-8FD2-34A127C3C861}"/>
    <cellStyle name="20% - Accent4 3 4 3" xfId="7850" xr:uid="{6567C447-557A-4B54-A7AD-71BCD65B11B9}"/>
    <cellStyle name="20% - Accent4 3 5" xfId="3961" xr:uid="{61EE716B-4AE7-4FFA-828F-D9A288323014}"/>
    <cellStyle name="20% - Accent4 3 5 2" xfId="6190" xr:uid="{957F799E-4F2F-4BC5-A557-BA4CCF08C55B}"/>
    <cellStyle name="20% - Accent4 3 5 2 2" xfId="10408" xr:uid="{8CEB2730-CDD0-4390-B440-00B721F5D563}"/>
    <cellStyle name="20% - Accent4 3 5 3" xfId="8263" xr:uid="{13C4F4A7-EEA9-4106-9F63-0BD27FD2AF14}"/>
    <cellStyle name="20% - Accent4 3 6" xfId="4374" xr:uid="{F55032B7-2626-4F1D-94DE-033DA7332286}"/>
    <cellStyle name="20% - Accent4 3 6 2" xfId="6603" xr:uid="{24FA4253-C158-4910-A41A-A61010D7DFE4}"/>
    <cellStyle name="20% - Accent4 3 6 2 2" xfId="10821" xr:uid="{20706DB8-204A-41A3-B8EE-FFEA2C0D13CE}"/>
    <cellStyle name="20% - Accent4 3 6 3" xfId="8676" xr:uid="{AAF1C9D8-2553-4F49-8D43-E275796A8AB7}"/>
    <cellStyle name="20% - Accent4 3 7" xfId="4787" xr:uid="{A894DFFA-4BE8-436E-8DFA-F84C98A96FA8}"/>
    <cellStyle name="20% - Accent4 3 7 2" xfId="9089" xr:uid="{92523C40-0A12-4FA1-8436-98734E464A17}"/>
    <cellStyle name="20% - Accent4 3 8" xfId="7023" xr:uid="{EC2F5B88-F6DB-4919-87F0-5CB52C96F5FA}"/>
    <cellStyle name="20% - Accent4 3 9" xfId="2719" xr:uid="{982F1E05-837A-44C1-A67C-3AD65BFFEE6E}"/>
    <cellStyle name="20% - Accent4 4" xfId="32" xr:uid="{00000000-0005-0000-0000-00003D000000}"/>
    <cellStyle name="20% - Accent4 4 10" xfId="1063" xr:uid="{C78216A1-8FD3-4050-BFA2-1011F250218B}"/>
    <cellStyle name="20% - Accent4 4 2" xfId="609" xr:uid="{00000000-0005-0000-0000-00003E000000}"/>
    <cellStyle name="20% - Accent4 4 2 2" xfId="5366" xr:uid="{FFE5C431-BFEE-45EC-BA03-40AA4A2AECFF}"/>
    <cellStyle name="20% - Accent4 4 2 2 2" xfId="9584" xr:uid="{A93B7839-3235-49CF-A462-202BA053B57A}"/>
    <cellStyle name="20% - Accent4 4 2 3" xfId="7439" xr:uid="{F8EF6D98-ECC2-46B1-97EB-E6C477B5A2E1}"/>
    <cellStyle name="20% - Accent4 4 2 4" xfId="3135" xr:uid="{12AEC64A-00F4-462A-8152-A1D35901E9AD}"/>
    <cellStyle name="20% - Accent4 4 2 5" xfId="2308" xr:uid="{7EC6A4FC-CE8C-4367-A400-CAFB25B8BA77}"/>
    <cellStyle name="20% - Accent4 4 2 6" xfId="1479" xr:uid="{98E093FA-7885-41A1-AACD-712512A81579}"/>
    <cellStyle name="20% - Accent4 4 3" xfId="3550" xr:uid="{97EBEEE7-4347-453F-9FB6-85FACA859B96}"/>
    <cellStyle name="20% - Accent4 4 3 2" xfId="5779" xr:uid="{36983244-B742-4348-BDA4-BBF3123071E4}"/>
    <cellStyle name="20% - Accent4 4 3 2 2" xfId="9997" xr:uid="{D756C50F-E7B1-44C9-838E-1FA8FD68BB4F}"/>
    <cellStyle name="20% - Accent4 4 3 3" xfId="7852" xr:uid="{EF34B780-482C-4230-909A-E00E980E0795}"/>
    <cellStyle name="20% - Accent4 4 4" xfId="3963" xr:uid="{1E38DFC2-9E34-4781-8E7D-E76D9BD000BC}"/>
    <cellStyle name="20% - Accent4 4 4 2" xfId="6192" xr:uid="{2F74EEDB-7853-40E3-B5CA-83C532E4E542}"/>
    <cellStyle name="20% - Accent4 4 4 2 2" xfId="10410" xr:uid="{1393A133-6276-489C-9D7E-95030568E61C}"/>
    <cellStyle name="20% - Accent4 4 4 3" xfId="8265" xr:uid="{8BA40254-446E-4EEE-B185-1A4F47F2603F}"/>
    <cellStyle name="20% - Accent4 4 5" xfId="4376" xr:uid="{B5BFFDD0-520E-46FB-A264-394A77246B02}"/>
    <cellStyle name="20% - Accent4 4 5 2" xfId="6605" xr:uid="{6787A15E-52B5-487F-B1EC-6524E530B1DD}"/>
    <cellStyle name="20% - Accent4 4 5 2 2" xfId="10823" xr:uid="{8BCF69C8-7169-4A0A-8999-E7289FC84641}"/>
    <cellStyle name="20% - Accent4 4 5 3" xfId="8678" xr:uid="{D602F6A4-3329-49C7-91E5-1EF4A2748F3E}"/>
    <cellStyle name="20% - Accent4 4 6" xfId="4789" xr:uid="{C6B1CED5-C8AE-421E-97CA-E88FFE483FA5}"/>
    <cellStyle name="20% - Accent4 4 6 2" xfId="9091" xr:uid="{F3418B19-C519-4704-99F8-073619A1A5D5}"/>
    <cellStyle name="20% - Accent4 4 7" xfId="7025" xr:uid="{625403A6-42B8-44F2-86C7-DDAA6E7A7EF0}"/>
    <cellStyle name="20% - Accent4 4 8" xfId="2721" xr:uid="{2C50D1F8-F402-46DC-A1D4-CBDB40DB6C49}"/>
    <cellStyle name="20% - Accent4 4 9" xfId="1892" xr:uid="{EDA67F17-A5A0-44E3-BABE-9F15B02BA63D}"/>
    <cellStyle name="20% - Accent4 5" xfId="602" xr:uid="{00000000-0005-0000-0000-00003F000000}"/>
    <cellStyle name="20% - Accent4 5 2" xfId="5359" xr:uid="{410CBFAC-A944-4435-B819-7712CCEEB99A}"/>
    <cellStyle name="20% - Accent4 5 2 2" xfId="9577" xr:uid="{382FD174-115F-472D-B309-844A5791749B}"/>
    <cellStyle name="20% - Accent4 5 3" xfId="7432" xr:uid="{F979D195-81AC-48FA-8846-7CF7CF837575}"/>
    <cellStyle name="20% - Accent4 5 4" xfId="3128" xr:uid="{657196E6-72A5-4496-98A2-EC3795234FCD}"/>
    <cellStyle name="20% - Accent4 5 5" xfId="2301" xr:uid="{A1DAA686-B6CC-4239-B8D6-4B4789CA059C}"/>
    <cellStyle name="20% - Accent4 5 6" xfId="1472" xr:uid="{B459C1F6-A0D7-42A9-9683-0ADBA861126D}"/>
    <cellStyle name="20% - Accent4 6" xfId="3543" xr:uid="{3172CB85-23DA-4D47-B182-DCDAD9C1F0A7}"/>
    <cellStyle name="20% - Accent4 6 2" xfId="5772" xr:uid="{71F2A4C8-50D5-47C9-B994-39D4871CBFDB}"/>
    <cellStyle name="20% - Accent4 6 2 2" xfId="9990" xr:uid="{0A415A4E-F7AE-46F9-A219-86A558F0E390}"/>
    <cellStyle name="20% - Accent4 6 3" xfId="7845" xr:uid="{C0DF3B00-E814-474D-A5CB-5D679A7ED8C7}"/>
    <cellStyle name="20% - Accent4 7" xfId="3956" xr:uid="{6B3DA960-D237-446F-957B-C5EBBC61B2ED}"/>
    <cellStyle name="20% - Accent4 7 2" xfId="6185" xr:uid="{87348932-1863-4057-B926-FB72C754CF3D}"/>
    <cellStyle name="20% - Accent4 7 2 2" xfId="10403" xr:uid="{9DCFF4DA-9B73-43B3-9763-EA41B92B8754}"/>
    <cellStyle name="20% - Accent4 7 3" xfId="8258" xr:uid="{090600F6-D77F-4D3D-9049-13895250A188}"/>
    <cellStyle name="20% - Accent4 8" xfId="4369" xr:uid="{313CCB46-0E8A-4BED-85A2-205A17A8E5D6}"/>
    <cellStyle name="20% - Accent4 8 2" xfId="6598" xr:uid="{F5033FD2-6ACB-4122-9414-C1E3084E0A03}"/>
    <cellStyle name="20% - Accent4 8 2 2" xfId="10816" xr:uid="{96A3065F-C214-43B8-9364-46861D398BA7}"/>
    <cellStyle name="20% - Accent4 8 3" xfId="8671" xr:uid="{293E4833-7642-44D1-8D46-5CE4445F505B}"/>
    <cellStyle name="20% - Accent4 9" xfId="4782" xr:uid="{46A1A171-0990-4D14-BB82-9AE63F6E7DD2}"/>
    <cellStyle name="20% - Accent4 9 2" xfId="9084" xr:uid="{2D901560-0796-4CF3-A515-755248AAC859}"/>
    <cellStyle name="20% - Accent5" xfId="33" builtinId="46" customBuiltin="1"/>
    <cellStyle name="20% - Accent5 10" xfId="7026" xr:uid="{80A6E55D-4EFE-481F-8B16-BFA374E1899B}"/>
    <cellStyle name="20% - Accent5 11" xfId="2722" xr:uid="{B987F243-81B4-4876-A793-1FDDD1BDB29C}"/>
    <cellStyle name="20% - Accent5 12" xfId="1893" xr:uid="{DB0744CA-D4F1-49A3-8DB3-70E6B2F22331}"/>
    <cellStyle name="20% - Accent5 13" xfId="1064" xr:uid="{AD55CD9B-912D-4B20-A427-6AA536720B60}"/>
    <cellStyle name="20% - Accent5 2" xfId="34" xr:uid="{00000000-0005-0000-0000-000041000000}"/>
    <cellStyle name="20% - Accent5 2 10" xfId="2723" xr:uid="{AFEF3C78-EBB2-4065-9105-7787252D134F}"/>
    <cellStyle name="20% - Accent5 2 11" xfId="1894" xr:uid="{AA494186-9A95-4715-BFA0-B99D29831E3C}"/>
    <cellStyle name="20% - Accent5 2 12" xfId="1065" xr:uid="{B1068F43-CD8E-495D-8563-BA5C7C40CD08}"/>
    <cellStyle name="20% - Accent5 2 2" xfId="35" xr:uid="{00000000-0005-0000-0000-000042000000}"/>
    <cellStyle name="20% - Accent5 2 2 10" xfId="1895" xr:uid="{0ABCE2B1-BB31-4C0B-B6E2-CAF3FC03B9E1}"/>
    <cellStyle name="20% - Accent5 2 2 11" xfId="1066" xr:uid="{BB957308-C37D-4F79-93ED-6FFC6E5144CB}"/>
    <cellStyle name="20% - Accent5 2 2 2" xfId="36" xr:uid="{00000000-0005-0000-0000-000043000000}"/>
    <cellStyle name="20% - Accent5 2 2 2 10" xfId="1067" xr:uid="{855C141C-67EC-450A-9728-6A817147619E}"/>
    <cellStyle name="20% - Accent5 2 2 2 2" xfId="613" xr:uid="{00000000-0005-0000-0000-000044000000}"/>
    <cellStyle name="20% - Accent5 2 2 2 2 2" xfId="5370" xr:uid="{B70C1E1E-7BEE-4205-8494-8B68BD6F0A84}"/>
    <cellStyle name="20% - Accent5 2 2 2 2 2 2" xfId="9588" xr:uid="{1F21525C-E4A0-4C57-82F0-BD3FCD00D477}"/>
    <cellStyle name="20% - Accent5 2 2 2 2 3" xfId="7443" xr:uid="{5C0BCC4A-78E0-4D6D-B271-4E789DB793A2}"/>
    <cellStyle name="20% - Accent5 2 2 2 2 4" xfId="3139" xr:uid="{FEED5DB5-8D44-48DE-BC5E-EA65F175CC1C}"/>
    <cellStyle name="20% - Accent5 2 2 2 2 5" xfId="2312" xr:uid="{8EE17C0B-EDA4-48DE-8D43-6DF1CE490D3B}"/>
    <cellStyle name="20% - Accent5 2 2 2 2 6" xfId="1483" xr:uid="{848076ED-A0BF-4CB1-BB6F-2C3E00633D3F}"/>
    <cellStyle name="20% - Accent5 2 2 2 3" xfId="3554" xr:uid="{9518B4DA-423A-4467-BF67-B0F2E3E8DE48}"/>
    <cellStyle name="20% - Accent5 2 2 2 3 2" xfId="5783" xr:uid="{BCDD591A-C6BC-4C02-ADBA-C5C337D33558}"/>
    <cellStyle name="20% - Accent5 2 2 2 3 2 2" xfId="10001" xr:uid="{EC7ACEE2-60D4-43B0-B3D5-425770CB0A7A}"/>
    <cellStyle name="20% - Accent5 2 2 2 3 3" xfId="7856" xr:uid="{33BD50A5-E09D-47DC-90C2-C5205BA52462}"/>
    <cellStyle name="20% - Accent5 2 2 2 4" xfId="3967" xr:uid="{B597A434-8CCF-4163-8FD5-7E25F4CA2888}"/>
    <cellStyle name="20% - Accent5 2 2 2 4 2" xfId="6196" xr:uid="{D5FC9323-E2F3-48C5-ADE6-A0276445FEFC}"/>
    <cellStyle name="20% - Accent5 2 2 2 4 2 2" xfId="10414" xr:uid="{577AB459-3147-4904-B501-8507EDA9AC02}"/>
    <cellStyle name="20% - Accent5 2 2 2 4 3" xfId="8269" xr:uid="{44F54859-99E0-4C93-8342-191282CCC547}"/>
    <cellStyle name="20% - Accent5 2 2 2 5" xfId="4380" xr:uid="{8F811C49-3536-438C-B550-EC9178A41E08}"/>
    <cellStyle name="20% - Accent5 2 2 2 5 2" xfId="6609" xr:uid="{C350A9D8-8AB6-4F90-AFDA-EA019B2C39D1}"/>
    <cellStyle name="20% - Accent5 2 2 2 5 2 2" xfId="10827" xr:uid="{34F9F47C-1C36-4200-8F56-F3E37D9885DB}"/>
    <cellStyle name="20% - Accent5 2 2 2 5 3" xfId="8682" xr:uid="{68F5C58A-4007-48B9-A628-324D89CC634D}"/>
    <cellStyle name="20% - Accent5 2 2 2 6" xfId="4793" xr:uid="{22B0A61F-3F2E-42E8-AFD6-DFCCC7C6B3BB}"/>
    <cellStyle name="20% - Accent5 2 2 2 6 2" xfId="9095" xr:uid="{6DFE8758-92A6-4601-8A14-5D46FC2F6595}"/>
    <cellStyle name="20% - Accent5 2 2 2 7" xfId="7029" xr:uid="{ADD52947-8020-4421-BB7A-31E1D7864218}"/>
    <cellStyle name="20% - Accent5 2 2 2 8" xfId="2725" xr:uid="{16B50AB1-351A-4F8F-919C-089F3F9C370F}"/>
    <cellStyle name="20% - Accent5 2 2 2 9" xfId="1896" xr:uid="{B485E67E-D0AD-43F5-B326-911823A846A1}"/>
    <cellStyle name="20% - Accent5 2 2 3" xfId="612" xr:uid="{00000000-0005-0000-0000-000045000000}"/>
    <cellStyle name="20% - Accent5 2 2 3 2" xfId="5369" xr:uid="{AA69D036-A9EE-4C0D-8D4B-940B719CA8F5}"/>
    <cellStyle name="20% - Accent5 2 2 3 2 2" xfId="9587" xr:uid="{FDA5D689-9DB1-4F87-A942-6A4FC1D4EDF9}"/>
    <cellStyle name="20% - Accent5 2 2 3 3" xfId="7442" xr:uid="{16295804-6413-4C99-B88C-33F9CAA31B55}"/>
    <cellStyle name="20% - Accent5 2 2 3 4" xfId="3138" xr:uid="{848084D0-7939-4C21-B59D-8876C2774F43}"/>
    <cellStyle name="20% - Accent5 2 2 3 5" xfId="2311" xr:uid="{BBA9555B-1AD9-4623-9635-728E6AD9A091}"/>
    <cellStyle name="20% - Accent5 2 2 3 6" xfId="1482" xr:uid="{7F9A32E9-3942-43C6-8D72-901FA347EE7E}"/>
    <cellStyle name="20% - Accent5 2 2 4" xfId="3553" xr:uid="{781874FD-99EF-4EA9-8DCA-0E19FC87FD8C}"/>
    <cellStyle name="20% - Accent5 2 2 4 2" xfId="5782" xr:uid="{6B410084-4B06-4886-8015-650798AB96FF}"/>
    <cellStyle name="20% - Accent5 2 2 4 2 2" xfId="10000" xr:uid="{3A669BC2-BFE5-4400-BB3D-30E2975AAAD9}"/>
    <cellStyle name="20% - Accent5 2 2 4 3" xfId="7855" xr:uid="{227B8E04-F130-423C-9665-9F5D30F4FE68}"/>
    <cellStyle name="20% - Accent5 2 2 5" xfId="3966" xr:uid="{81F6A753-2413-4F4D-B5BE-C99FE135331E}"/>
    <cellStyle name="20% - Accent5 2 2 5 2" xfId="6195" xr:uid="{2FB7D6A5-592E-4420-910F-06FAD37071CA}"/>
    <cellStyle name="20% - Accent5 2 2 5 2 2" xfId="10413" xr:uid="{77B270EF-72E4-40EA-836D-560FB5848270}"/>
    <cellStyle name="20% - Accent5 2 2 5 3" xfId="8268" xr:uid="{3A1418FD-5C6B-444F-8950-D2F86054C922}"/>
    <cellStyle name="20% - Accent5 2 2 6" xfId="4379" xr:uid="{A18EC7BB-DD3C-4740-B621-819883F3D2F6}"/>
    <cellStyle name="20% - Accent5 2 2 6 2" xfId="6608" xr:uid="{16F4FC26-07F4-41FB-AEF7-32E60FC50AC7}"/>
    <cellStyle name="20% - Accent5 2 2 6 2 2" xfId="10826" xr:uid="{8E30574D-D4C1-4C63-9B16-1D795D1F4425}"/>
    <cellStyle name="20% - Accent5 2 2 6 3" xfId="8681" xr:uid="{39744B34-4B7D-4EBB-894D-22C9C1D589C1}"/>
    <cellStyle name="20% - Accent5 2 2 7" xfId="4792" xr:uid="{9655BC21-8DAD-4142-918A-34263AF29D74}"/>
    <cellStyle name="20% - Accent5 2 2 7 2" xfId="9094" xr:uid="{6DD9FB24-5CCE-486A-B28F-82EC9656A946}"/>
    <cellStyle name="20% - Accent5 2 2 8" xfId="7028" xr:uid="{F07A2723-5D39-4CFE-9570-F6AAEED8434C}"/>
    <cellStyle name="20% - Accent5 2 2 9" xfId="2724" xr:uid="{92A9B762-7756-42C7-867C-3D46A33D3156}"/>
    <cellStyle name="20% - Accent5 2 3" xfId="37" xr:uid="{00000000-0005-0000-0000-000046000000}"/>
    <cellStyle name="20% - Accent5 2 3 10" xfId="1068" xr:uid="{2B893546-0F66-425B-BD88-ABA63EA53025}"/>
    <cellStyle name="20% - Accent5 2 3 2" xfId="614" xr:uid="{00000000-0005-0000-0000-000047000000}"/>
    <cellStyle name="20% - Accent5 2 3 2 2" xfId="5371" xr:uid="{52065081-3B03-4898-B406-DE8107225C9E}"/>
    <cellStyle name="20% - Accent5 2 3 2 2 2" xfId="9589" xr:uid="{F1839ECE-9E83-47DE-9F59-07CC82E3ACCD}"/>
    <cellStyle name="20% - Accent5 2 3 2 3" xfId="7444" xr:uid="{FC6AB325-C71B-4781-BB5F-795505613B3F}"/>
    <cellStyle name="20% - Accent5 2 3 2 4" xfId="3140" xr:uid="{A6A430AB-DCBA-43CA-9A24-DB3590E753F4}"/>
    <cellStyle name="20% - Accent5 2 3 2 5" xfId="2313" xr:uid="{6AEA8679-AA17-410C-9462-F99B78EEF0AD}"/>
    <cellStyle name="20% - Accent5 2 3 2 6" xfId="1484" xr:uid="{C7070D11-EBD8-495B-8C9D-724F9F564CED}"/>
    <cellStyle name="20% - Accent5 2 3 3" xfId="3555" xr:uid="{6F87529E-DD51-4F5E-BCF2-8F74A37A1A03}"/>
    <cellStyle name="20% - Accent5 2 3 3 2" xfId="5784" xr:uid="{B11B7E0B-CF0D-4724-BD5D-81FF26F6B46D}"/>
    <cellStyle name="20% - Accent5 2 3 3 2 2" xfId="10002" xr:uid="{313D50D0-EEE7-491E-BE11-CE9C5195BC9F}"/>
    <cellStyle name="20% - Accent5 2 3 3 3" xfId="7857" xr:uid="{B3D56FD5-30EB-44E8-BDA2-85A38252577F}"/>
    <cellStyle name="20% - Accent5 2 3 4" xfId="3968" xr:uid="{EF4C729B-C47D-4DFD-8B1D-E7CD32F00AA6}"/>
    <cellStyle name="20% - Accent5 2 3 4 2" xfId="6197" xr:uid="{528DC14A-F565-4862-B8D4-12FBDB5D5C16}"/>
    <cellStyle name="20% - Accent5 2 3 4 2 2" xfId="10415" xr:uid="{86CAC870-ED24-4066-B304-26D7C36F077B}"/>
    <cellStyle name="20% - Accent5 2 3 4 3" xfId="8270" xr:uid="{6E799EA9-C75A-4976-9FC2-84620E2EDA8F}"/>
    <cellStyle name="20% - Accent5 2 3 5" xfId="4381" xr:uid="{A8EDDEA8-126A-4FD1-91A9-AE3A9F6F5A09}"/>
    <cellStyle name="20% - Accent5 2 3 5 2" xfId="6610" xr:uid="{06C74921-12B9-40FB-A65D-F0E06D1E561B}"/>
    <cellStyle name="20% - Accent5 2 3 5 2 2" xfId="10828" xr:uid="{48E64018-60F8-4F83-BA19-C84E61D9C7F2}"/>
    <cellStyle name="20% - Accent5 2 3 5 3" xfId="8683" xr:uid="{9D0631AB-BE09-47DB-ABBE-60E205661182}"/>
    <cellStyle name="20% - Accent5 2 3 6" xfId="4794" xr:uid="{69AD8B95-9289-4834-90AE-8A73685F5015}"/>
    <cellStyle name="20% - Accent5 2 3 6 2" xfId="9096" xr:uid="{D269E6D4-F079-43AF-906A-EF6E241B66E3}"/>
    <cellStyle name="20% - Accent5 2 3 7" xfId="7030" xr:uid="{DA06781A-179D-4E30-A28B-4440E71EF848}"/>
    <cellStyle name="20% - Accent5 2 3 8" xfId="2726" xr:uid="{240D18FC-2DE5-4EF5-B53E-7699540D2230}"/>
    <cellStyle name="20% - Accent5 2 3 9" xfId="1897" xr:uid="{3C897667-3B97-4545-AA99-B4D28477E1FB}"/>
    <cellStyle name="20% - Accent5 2 4" xfId="611" xr:uid="{00000000-0005-0000-0000-000048000000}"/>
    <cellStyle name="20% - Accent5 2 4 2" xfId="5368" xr:uid="{1DEF6038-9909-4B0A-82FB-9EF49D581EE4}"/>
    <cellStyle name="20% - Accent5 2 4 2 2" xfId="9586" xr:uid="{05D0F8D5-6343-4A38-BFAE-38BC585E9550}"/>
    <cellStyle name="20% - Accent5 2 4 3" xfId="7441" xr:uid="{88F1540F-36BD-4027-9F3A-9476FC2F6B5D}"/>
    <cellStyle name="20% - Accent5 2 4 4" xfId="3137" xr:uid="{1C6568F7-F703-4F00-AB49-B690E548347F}"/>
    <cellStyle name="20% - Accent5 2 4 5" xfId="2310" xr:uid="{28EB6BB7-DB5D-40B8-A518-5E7E75E87E49}"/>
    <cellStyle name="20% - Accent5 2 4 6" xfId="1481" xr:uid="{090F4634-20EA-4EC1-852D-35D37400C162}"/>
    <cellStyle name="20% - Accent5 2 5" xfId="3552" xr:uid="{10379079-045B-40A7-9072-EF69DBCD4F0D}"/>
    <cellStyle name="20% - Accent5 2 5 2" xfId="5781" xr:uid="{5A0C4290-B823-435C-B101-5B657296EEB7}"/>
    <cellStyle name="20% - Accent5 2 5 2 2" xfId="9999" xr:uid="{16C8B76C-6A3E-4C69-87F0-A4B4BBFB4918}"/>
    <cellStyle name="20% - Accent5 2 5 3" xfId="7854" xr:uid="{B4DB2899-22BF-46A5-BCDC-C789660E3E81}"/>
    <cellStyle name="20% - Accent5 2 6" xfId="3965" xr:uid="{DAE8F3A4-8FD3-4B2A-AE24-5C8F919478EB}"/>
    <cellStyle name="20% - Accent5 2 6 2" xfId="6194" xr:uid="{F8F6FF9E-B53D-4138-BCC5-37EAE76519C7}"/>
    <cellStyle name="20% - Accent5 2 6 2 2" xfId="10412" xr:uid="{0603F8DC-DF36-4D63-AFBB-F538B79F0104}"/>
    <cellStyle name="20% - Accent5 2 6 3" xfId="8267" xr:uid="{E7732F30-4042-4E89-B358-A2C8347C972D}"/>
    <cellStyle name="20% - Accent5 2 7" xfId="4378" xr:uid="{6A9A798E-0626-4491-A87B-ACDE9263C096}"/>
    <cellStyle name="20% - Accent5 2 7 2" xfId="6607" xr:uid="{4EFB40F8-93CF-4192-9FF1-C616658BFFAC}"/>
    <cellStyle name="20% - Accent5 2 7 2 2" xfId="10825" xr:uid="{D5FCC860-2BF3-4F15-BAC4-41338C0C019B}"/>
    <cellStyle name="20% - Accent5 2 7 3" xfId="8680" xr:uid="{BF8AA340-6EDF-45F3-963D-20C0A7B802EC}"/>
    <cellStyle name="20% - Accent5 2 8" xfId="4791" xr:uid="{9C9CA374-2450-43E2-88FD-0908665DCD7B}"/>
    <cellStyle name="20% - Accent5 2 8 2" xfId="9093" xr:uid="{1D688E7B-C0C3-41DC-BC12-A223F85E4857}"/>
    <cellStyle name="20% - Accent5 2 9" xfId="7027" xr:uid="{B8A362AF-EBA0-4AA4-A0FA-85F2E09C9C8C}"/>
    <cellStyle name="20% - Accent5 3" xfId="38" xr:uid="{00000000-0005-0000-0000-000049000000}"/>
    <cellStyle name="20% - Accent5 3 10" xfId="1898" xr:uid="{025CB720-1CC4-409C-AD93-6020924F0719}"/>
    <cellStyle name="20% - Accent5 3 11" xfId="1069" xr:uid="{9261F72E-984F-4A87-A26C-FDCEA511178F}"/>
    <cellStyle name="20% - Accent5 3 2" xfId="39" xr:uid="{00000000-0005-0000-0000-00004A000000}"/>
    <cellStyle name="20% - Accent5 3 2 10" xfId="1070" xr:uid="{C45FFA4A-3514-4798-8210-1ECD15825BFF}"/>
    <cellStyle name="20% - Accent5 3 2 2" xfId="616" xr:uid="{00000000-0005-0000-0000-00004B000000}"/>
    <cellStyle name="20% - Accent5 3 2 2 2" xfId="5373" xr:uid="{4E237CCA-861A-4657-96E0-D93E77184F65}"/>
    <cellStyle name="20% - Accent5 3 2 2 2 2" xfId="9591" xr:uid="{428D8EA7-6C81-47D8-8310-8F03D4D07210}"/>
    <cellStyle name="20% - Accent5 3 2 2 3" xfId="7446" xr:uid="{87A7EB53-D04C-40B5-B77B-1A129AFA384E}"/>
    <cellStyle name="20% - Accent5 3 2 2 4" xfId="3142" xr:uid="{A381F33E-8D9A-4949-8F56-5C6D5454E8A5}"/>
    <cellStyle name="20% - Accent5 3 2 2 5" xfId="2315" xr:uid="{E23BE34D-1C66-46D4-B4A6-BDB5C369BC89}"/>
    <cellStyle name="20% - Accent5 3 2 2 6" xfId="1486" xr:uid="{0EB70CFC-DF58-46F5-B73F-9A0CFB3110FB}"/>
    <cellStyle name="20% - Accent5 3 2 3" xfId="3557" xr:uid="{C0451BF0-DA7B-4E9A-8F08-5A75E65C07B7}"/>
    <cellStyle name="20% - Accent5 3 2 3 2" xfId="5786" xr:uid="{ABB2D9CB-4D13-4B62-9CD7-7A77E17CED93}"/>
    <cellStyle name="20% - Accent5 3 2 3 2 2" xfId="10004" xr:uid="{490450BC-6E03-44B8-901D-7D5CA3E43448}"/>
    <cellStyle name="20% - Accent5 3 2 3 3" xfId="7859" xr:uid="{1D105E2D-3A25-45E3-8C4B-8A6FEFC7501D}"/>
    <cellStyle name="20% - Accent5 3 2 4" xfId="3970" xr:uid="{58A0B395-CBEF-4D97-BB87-FDD376B33F21}"/>
    <cellStyle name="20% - Accent5 3 2 4 2" xfId="6199" xr:uid="{C224EF70-D64E-436A-9389-253E29C0B900}"/>
    <cellStyle name="20% - Accent5 3 2 4 2 2" xfId="10417" xr:uid="{FD4191F7-DF35-4250-9FCC-B03069A62E30}"/>
    <cellStyle name="20% - Accent5 3 2 4 3" xfId="8272" xr:uid="{02C06FA7-7A52-4CFC-88A8-BC918F710D53}"/>
    <cellStyle name="20% - Accent5 3 2 5" xfId="4383" xr:uid="{F583E873-6A00-4F99-8500-8E36BB759344}"/>
    <cellStyle name="20% - Accent5 3 2 5 2" xfId="6612" xr:uid="{DAD06DEC-776F-45AE-B2CB-000F236DA1EE}"/>
    <cellStyle name="20% - Accent5 3 2 5 2 2" xfId="10830" xr:uid="{789C43DA-8C24-4E80-9542-0BFC29711EB3}"/>
    <cellStyle name="20% - Accent5 3 2 5 3" xfId="8685" xr:uid="{2B603A59-203C-4529-A3A9-5C795A0025FD}"/>
    <cellStyle name="20% - Accent5 3 2 6" xfId="4796" xr:uid="{0DF93925-FE19-4DD7-BF3A-0AB61E069E78}"/>
    <cellStyle name="20% - Accent5 3 2 6 2" xfId="9098" xr:uid="{A705EC7E-0D1A-49EC-ADE8-97127DA6C7C4}"/>
    <cellStyle name="20% - Accent5 3 2 7" xfId="7032" xr:uid="{C6FDC8DA-9F79-491D-B4A5-93237A8E68EC}"/>
    <cellStyle name="20% - Accent5 3 2 8" xfId="2728" xr:uid="{41095F72-97DB-428A-AB59-442D1ED4FCB4}"/>
    <cellStyle name="20% - Accent5 3 2 9" xfId="1899" xr:uid="{2085599F-F493-4A41-8D5B-8736BBC46881}"/>
    <cellStyle name="20% - Accent5 3 3" xfId="615" xr:uid="{00000000-0005-0000-0000-00004C000000}"/>
    <cellStyle name="20% - Accent5 3 3 2" xfId="5372" xr:uid="{81C88089-75B7-4907-9B49-008117DBC2B5}"/>
    <cellStyle name="20% - Accent5 3 3 2 2" xfId="9590" xr:uid="{FB510AF2-9A5A-48F1-B399-66E9B5544447}"/>
    <cellStyle name="20% - Accent5 3 3 3" xfId="7445" xr:uid="{4E79BED8-33BE-42F9-BB77-0D9E1F01DCF8}"/>
    <cellStyle name="20% - Accent5 3 3 4" xfId="3141" xr:uid="{40B22B0A-47FC-482F-9C39-DF32274ED307}"/>
    <cellStyle name="20% - Accent5 3 3 5" xfId="2314" xr:uid="{32121D2B-8B7D-4E26-B6CE-E59B71542FDD}"/>
    <cellStyle name="20% - Accent5 3 3 6" xfId="1485" xr:uid="{3B59CB98-C2C0-4059-B675-AB5AD3AB3601}"/>
    <cellStyle name="20% - Accent5 3 4" xfId="3556" xr:uid="{4E90ADE4-5AFD-4504-A205-095DFB7E07D4}"/>
    <cellStyle name="20% - Accent5 3 4 2" xfId="5785" xr:uid="{427D0004-DA0E-4BDE-A576-550E5C0F5B14}"/>
    <cellStyle name="20% - Accent5 3 4 2 2" xfId="10003" xr:uid="{44951B20-4B46-46EE-BC4A-3D77E6250A05}"/>
    <cellStyle name="20% - Accent5 3 4 3" xfId="7858" xr:uid="{9E6F2880-A1CE-4861-8064-86B7A5EFFF01}"/>
    <cellStyle name="20% - Accent5 3 5" xfId="3969" xr:uid="{493BB87E-4AC6-4324-9BC2-6B5AAF2047FE}"/>
    <cellStyle name="20% - Accent5 3 5 2" xfId="6198" xr:uid="{779BF209-AF29-4097-A638-2DB9133949BF}"/>
    <cellStyle name="20% - Accent5 3 5 2 2" xfId="10416" xr:uid="{3DAF3F97-DBDA-48C3-9F4F-FA9C139B12D8}"/>
    <cellStyle name="20% - Accent5 3 5 3" xfId="8271" xr:uid="{5CF0A117-2FAF-4A1E-8820-495E82D56039}"/>
    <cellStyle name="20% - Accent5 3 6" xfId="4382" xr:uid="{DB651A6A-F1FF-4D26-9742-2756D024D1F9}"/>
    <cellStyle name="20% - Accent5 3 6 2" xfId="6611" xr:uid="{ECF3E195-7363-4D50-AC62-8A4FDEBFEDAC}"/>
    <cellStyle name="20% - Accent5 3 6 2 2" xfId="10829" xr:uid="{73812D19-9398-4CCD-BEFD-80911FBFE811}"/>
    <cellStyle name="20% - Accent5 3 6 3" xfId="8684" xr:uid="{0E59C6AF-F29F-4F9D-9F2F-FCBF30F2DDA9}"/>
    <cellStyle name="20% - Accent5 3 7" xfId="4795" xr:uid="{1118D407-1C70-4B2B-BC3C-AC413D0C030D}"/>
    <cellStyle name="20% - Accent5 3 7 2" xfId="9097" xr:uid="{0393AFFA-F0C2-421D-8821-B09D523FFE3A}"/>
    <cellStyle name="20% - Accent5 3 8" xfId="7031" xr:uid="{1BFF1CC4-1CD8-42D3-9EDF-7C2AA0FA2B24}"/>
    <cellStyle name="20% - Accent5 3 9" xfId="2727" xr:uid="{20681218-483E-4EB7-8308-94460499BC39}"/>
    <cellStyle name="20% - Accent5 4" xfId="40" xr:uid="{00000000-0005-0000-0000-00004D000000}"/>
    <cellStyle name="20% - Accent5 4 10" xfId="1071" xr:uid="{22B05FAB-038D-475A-85B7-07469976D940}"/>
    <cellStyle name="20% - Accent5 4 2" xfId="617" xr:uid="{00000000-0005-0000-0000-00004E000000}"/>
    <cellStyle name="20% - Accent5 4 2 2" xfId="5374" xr:uid="{2AA4406E-FE56-4514-9B81-DFF3DC2B5872}"/>
    <cellStyle name="20% - Accent5 4 2 2 2" xfId="9592" xr:uid="{374A0BB1-02F4-4014-912C-A5E6E6C5F974}"/>
    <cellStyle name="20% - Accent5 4 2 3" xfId="7447" xr:uid="{B57B55D0-3B21-4464-8308-B21E1FC7251A}"/>
    <cellStyle name="20% - Accent5 4 2 4" xfId="3143" xr:uid="{F068780D-2F76-4C39-B09E-384B66B63CB7}"/>
    <cellStyle name="20% - Accent5 4 2 5" xfId="2316" xr:uid="{0369EAB0-27F4-4706-8C07-7EB5778D122A}"/>
    <cellStyle name="20% - Accent5 4 2 6" xfId="1487" xr:uid="{19F99279-3607-4F94-8EC8-2EE29D10B1A2}"/>
    <cellStyle name="20% - Accent5 4 3" xfId="3558" xr:uid="{85DA9C3F-3627-4FB8-B6BF-BA24135970D5}"/>
    <cellStyle name="20% - Accent5 4 3 2" xfId="5787" xr:uid="{48DB9043-44B0-4C65-A9FF-6F23B07455EE}"/>
    <cellStyle name="20% - Accent5 4 3 2 2" xfId="10005" xr:uid="{B0E1F4F9-7997-42E8-847E-BE692B0B9446}"/>
    <cellStyle name="20% - Accent5 4 3 3" xfId="7860" xr:uid="{5948C35A-1B9B-429A-9877-140E96ACFC43}"/>
    <cellStyle name="20% - Accent5 4 4" xfId="3971" xr:uid="{25858E9C-1DE4-4816-BAAF-63D12A5548BF}"/>
    <cellStyle name="20% - Accent5 4 4 2" xfId="6200" xr:uid="{3E2386C3-6945-4FC4-B37A-710CA599F005}"/>
    <cellStyle name="20% - Accent5 4 4 2 2" xfId="10418" xr:uid="{B479B4D0-2CB6-47AD-9426-B7F946BD9BC3}"/>
    <cellStyle name="20% - Accent5 4 4 3" xfId="8273" xr:uid="{7DBD8AB5-7DE0-4FA9-837E-19293A6774A6}"/>
    <cellStyle name="20% - Accent5 4 5" xfId="4384" xr:uid="{E8845CF0-DD48-4357-BDF8-C30F1FD854EB}"/>
    <cellStyle name="20% - Accent5 4 5 2" xfId="6613" xr:uid="{624C2EAA-1CF3-4E72-91E6-327472B843C4}"/>
    <cellStyle name="20% - Accent5 4 5 2 2" xfId="10831" xr:uid="{8EC32F62-F5D8-4FC9-B448-4286DD947D09}"/>
    <cellStyle name="20% - Accent5 4 5 3" xfId="8686" xr:uid="{849E333D-5DE3-477C-AF62-37A2E9B82F8E}"/>
    <cellStyle name="20% - Accent5 4 6" xfId="4797" xr:uid="{0DA9718A-BCAD-4341-8DCF-63D15A6F245C}"/>
    <cellStyle name="20% - Accent5 4 6 2" xfId="9099" xr:uid="{25A0FA79-4A72-43CA-93F1-7D7C0259BE17}"/>
    <cellStyle name="20% - Accent5 4 7" xfId="7033" xr:uid="{06C90FD0-8ED4-49D0-93DC-A5AEFF19A64D}"/>
    <cellStyle name="20% - Accent5 4 8" xfId="2729" xr:uid="{650ED566-B51B-49AF-B9B3-DA0A6633734E}"/>
    <cellStyle name="20% - Accent5 4 9" xfId="1900" xr:uid="{0253F34C-5E62-4762-A3A6-3917EE1E037D}"/>
    <cellStyle name="20% - Accent5 5" xfId="610" xr:uid="{00000000-0005-0000-0000-00004F000000}"/>
    <cellStyle name="20% - Accent5 5 2" xfId="5367" xr:uid="{7A84C79D-45D3-4C23-A1F5-AED22CC02858}"/>
    <cellStyle name="20% - Accent5 5 2 2" xfId="9585" xr:uid="{3465703E-C91C-44AF-97EB-073F5289D20B}"/>
    <cellStyle name="20% - Accent5 5 3" xfId="7440" xr:uid="{617B0C34-A0FE-4B95-B52B-4267F2195B4F}"/>
    <cellStyle name="20% - Accent5 5 4" xfId="3136" xr:uid="{6B50165B-1D44-47F1-8CF6-8C19C773D24A}"/>
    <cellStyle name="20% - Accent5 5 5" xfId="2309" xr:uid="{BEFABDB5-4C3F-413C-B18D-40B1CD43F584}"/>
    <cellStyle name="20% - Accent5 5 6" xfId="1480" xr:uid="{07E9A70E-69B0-427D-9D02-3B87BD4B67D3}"/>
    <cellStyle name="20% - Accent5 6" xfId="3551" xr:uid="{8074DAFE-D528-4EBF-AFFD-3831812AB089}"/>
    <cellStyle name="20% - Accent5 6 2" xfId="5780" xr:uid="{4DB7A4A9-0E80-4516-96FA-A3E4F3D55B90}"/>
    <cellStyle name="20% - Accent5 6 2 2" xfId="9998" xr:uid="{34B04268-0891-48CB-8ED0-BD9A5849AE11}"/>
    <cellStyle name="20% - Accent5 6 3" xfId="7853" xr:uid="{B9FD2105-A34C-40B3-88F4-F3A28E56FDAC}"/>
    <cellStyle name="20% - Accent5 7" xfId="3964" xr:uid="{F46ED5AF-1383-4E57-8B35-A25430313580}"/>
    <cellStyle name="20% - Accent5 7 2" xfId="6193" xr:uid="{602AC14A-CE5F-46DD-93ED-CC7213B698E6}"/>
    <cellStyle name="20% - Accent5 7 2 2" xfId="10411" xr:uid="{73744407-CFD3-474C-A578-F2B83F351029}"/>
    <cellStyle name="20% - Accent5 7 3" xfId="8266" xr:uid="{D5FD465C-2250-49BB-86C2-5BF24736C8B6}"/>
    <cellStyle name="20% - Accent5 8" xfId="4377" xr:uid="{4A2C3C2F-D93F-458C-8648-BD1912EE57D5}"/>
    <cellStyle name="20% - Accent5 8 2" xfId="6606" xr:uid="{952B1318-1AC9-46A2-98A5-722A30D4DEB5}"/>
    <cellStyle name="20% - Accent5 8 2 2" xfId="10824" xr:uid="{4FF77E4D-5513-424F-BF21-C58BFCE87899}"/>
    <cellStyle name="20% - Accent5 8 3" xfId="8679" xr:uid="{D01F43E5-C11E-4A5E-8580-94A6A52456DB}"/>
    <cellStyle name="20% - Accent5 9" xfId="4790" xr:uid="{AA413AEF-AEF9-4F58-9E72-350EEA7C3A44}"/>
    <cellStyle name="20% - Accent5 9 2" xfId="9092" xr:uid="{4923A8C3-2F65-4CAA-932A-724F3C3B10BE}"/>
    <cellStyle name="20% - Accent6" xfId="41" builtinId="50" customBuiltin="1"/>
    <cellStyle name="20% - Accent6 10" xfId="7034" xr:uid="{78B4A12A-5F6A-4C8E-BFE1-3F7D56261273}"/>
    <cellStyle name="20% - Accent6 11" xfId="2730" xr:uid="{F4816D49-5B3D-4E92-936E-CA3F18A1583C}"/>
    <cellStyle name="20% - Accent6 12" xfId="1901" xr:uid="{EE02116A-EE4A-4A5B-8A79-72190924A4CF}"/>
    <cellStyle name="20% - Accent6 13" xfId="1072" xr:uid="{B4D7D7E8-0D0C-417A-AE88-6546C3F47B4E}"/>
    <cellStyle name="20% - Accent6 2" xfId="42" xr:uid="{00000000-0005-0000-0000-000051000000}"/>
    <cellStyle name="20% - Accent6 2 10" xfId="2731" xr:uid="{A75E9F95-3062-4C2C-80EA-89B7549F3AD4}"/>
    <cellStyle name="20% - Accent6 2 11" xfId="1902" xr:uid="{8CE356C9-378C-4A5B-BCC5-A6E6237E7934}"/>
    <cellStyle name="20% - Accent6 2 12" xfId="1073" xr:uid="{B1DCEF5D-10AC-4D00-9695-F523A61E8E98}"/>
    <cellStyle name="20% - Accent6 2 2" xfId="43" xr:uid="{00000000-0005-0000-0000-000052000000}"/>
    <cellStyle name="20% - Accent6 2 2 10" xfId="1903" xr:uid="{F8D8EBBE-D089-4801-B1AE-5DA370FDE96D}"/>
    <cellStyle name="20% - Accent6 2 2 11" xfId="1074" xr:uid="{5FC0AE98-614F-4CBA-B74F-E254F9798A06}"/>
    <cellStyle name="20% - Accent6 2 2 2" xfId="44" xr:uid="{00000000-0005-0000-0000-000053000000}"/>
    <cellStyle name="20% - Accent6 2 2 2 10" xfId="1075" xr:uid="{766E4E82-C74A-4545-BDC8-C47A97CF7AA1}"/>
    <cellStyle name="20% - Accent6 2 2 2 2" xfId="621" xr:uid="{00000000-0005-0000-0000-000054000000}"/>
    <cellStyle name="20% - Accent6 2 2 2 2 2" xfId="5378" xr:uid="{6385CFD6-D18F-491E-8856-9922CA659E2B}"/>
    <cellStyle name="20% - Accent6 2 2 2 2 2 2" xfId="9596" xr:uid="{DC3A95D4-5110-4902-B43F-581F4FBEA078}"/>
    <cellStyle name="20% - Accent6 2 2 2 2 3" xfId="7451" xr:uid="{E921776B-F13B-4F28-9607-582EB9AD5F31}"/>
    <cellStyle name="20% - Accent6 2 2 2 2 4" xfId="3147" xr:uid="{014C484A-B897-4761-9767-B9C8538B6B8E}"/>
    <cellStyle name="20% - Accent6 2 2 2 2 5" xfId="2320" xr:uid="{2E1663B2-0716-4AAA-B1F2-4B51CBFD6438}"/>
    <cellStyle name="20% - Accent6 2 2 2 2 6" xfId="1491" xr:uid="{0E2B0D5E-6C2D-458A-80F3-A56B56ECF530}"/>
    <cellStyle name="20% - Accent6 2 2 2 3" xfId="3562" xr:uid="{3387A29F-FE76-4585-8FFA-1B05A1C7BE4B}"/>
    <cellStyle name="20% - Accent6 2 2 2 3 2" xfId="5791" xr:uid="{1595FD25-4C2D-481D-A9A3-E207D707AB51}"/>
    <cellStyle name="20% - Accent6 2 2 2 3 2 2" xfId="10009" xr:uid="{21157DAA-BE8E-4E11-9C50-3BE0485A023D}"/>
    <cellStyle name="20% - Accent6 2 2 2 3 3" xfId="7864" xr:uid="{72931D9A-4A51-4B4B-B827-0C4998A1D03D}"/>
    <cellStyle name="20% - Accent6 2 2 2 4" xfId="3975" xr:uid="{25A03F07-42AF-4754-B2F3-1B2F1466C0E2}"/>
    <cellStyle name="20% - Accent6 2 2 2 4 2" xfId="6204" xr:uid="{119F981D-2700-4BD8-9A99-C48462382798}"/>
    <cellStyle name="20% - Accent6 2 2 2 4 2 2" xfId="10422" xr:uid="{4DA61B40-CCEA-40C4-8B5D-1F5ACA092534}"/>
    <cellStyle name="20% - Accent6 2 2 2 4 3" xfId="8277" xr:uid="{26044BC0-653F-4248-8899-DDAEF352D4E2}"/>
    <cellStyle name="20% - Accent6 2 2 2 5" xfId="4388" xr:uid="{59B4511F-B6F3-43C3-845E-A7726CBF1434}"/>
    <cellStyle name="20% - Accent6 2 2 2 5 2" xfId="6617" xr:uid="{A25EA07E-FF4C-44D8-9222-BE644C53CCE4}"/>
    <cellStyle name="20% - Accent6 2 2 2 5 2 2" xfId="10835" xr:uid="{62F223A7-F8BB-40D4-8B46-D1A36B67E37A}"/>
    <cellStyle name="20% - Accent6 2 2 2 5 3" xfId="8690" xr:uid="{7BBB0BF0-E578-4FD1-8AB7-E2A9DDC7A74C}"/>
    <cellStyle name="20% - Accent6 2 2 2 6" xfId="4801" xr:uid="{EA73CBF0-8AAD-4948-8F0A-87AC4669BB66}"/>
    <cellStyle name="20% - Accent6 2 2 2 6 2" xfId="9103" xr:uid="{298DBDD6-1BC1-4448-AD4E-7D04D833EE5C}"/>
    <cellStyle name="20% - Accent6 2 2 2 7" xfId="7037" xr:uid="{EC569E3D-9433-4C7A-B909-487CBAA41F9C}"/>
    <cellStyle name="20% - Accent6 2 2 2 8" xfId="2733" xr:uid="{3557179D-8C3C-46CE-836F-9DE33787D223}"/>
    <cellStyle name="20% - Accent6 2 2 2 9" xfId="1904" xr:uid="{DCCC94D6-D562-4FCE-87B0-410BC760CC91}"/>
    <cellStyle name="20% - Accent6 2 2 3" xfId="620" xr:uid="{00000000-0005-0000-0000-000055000000}"/>
    <cellStyle name="20% - Accent6 2 2 3 2" xfId="5377" xr:uid="{7CB7D610-ACA9-4034-9781-786DFFE718E2}"/>
    <cellStyle name="20% - Accent6 2 2 3 2 2" xfId="9595" xr:uid="{520A337C-A057-4356-9CB3-7996468F5547}"/>
    <cellStyle name="20% - Accent6 2 2 3 3" xfId="7450" xr:uid="{359D58AA-49D0-4FCB-B6DE-3E48ADD781BF}"/>
    <cellStyle name="20% - Accent6 2 2 3 4" xfId="3146" xr:uid="{02EAEF0D-FA27-4E72-828A-82EC651E98E9}"/>
    <cellStyle name="20% - Accent6 2 2 3 5" xfId="2319" xr:uid="{BDB431EA-375E-45D9-B049-FA5CD5FEF491}"/>
    <cellStyle name="20% - Accent6 2 2 3 6" xfId="1490" xr:uid="{1349E86C-DE04-4631-B8A0-1B25C065D211}"/>
    <cellStyle name="20% - Accent6 2 2 4" xfId="3561" xr:uid="{FEF1BB60-1377-4FCA-BF30-306AC65D5F27}"/>
    <cellStyle name="20% - Accent6 2 2 4 2" xfId="5790" xr:uid="{3C291AD5-7A94-4010-9A9A-57EC2AF5C2DC}"/>
    <cellStyle name="20% - Accent6 2 2 4 2 2" xfId="10008" xr:uid="{E2192E56-EE1C-4A0B-BE6C-823F5EA22B5A}"/>
    <cellStyle name="20% - Accent6 2 2 4 3" xfId="7863" xr:uid="{0C5F4B03-9C83-4954-9E86-34C6F248D5EB}"/>
    <cellStyle name="20% - Accent6 2 2 5" xfId="3974" xr:uid="{6D27B043-D658-4CBC-A025-925F95714D1B}"/>
    <cellStyle name="20% - Accent6 2 2 5 2" xfId="6203" xr:uid="{FD228DD1-7D68-4DFC-A0FB-EBB9E31A2A30}"/>
    <cellStyle name="20% - Accent6 2 2 5 2 2" xfId="10421" xr:uid="{DA940BA7-C635-4213-A47C-9CDB010EF42C}"/>
    <cellStyle name="20% - Accent6 2 2 5 3" xfId="8276" xr:uid="{F3BDAEE1-A643-4ABA-AFBA-91EBED633972}"/>
    <cellStyle name="20% - Accent6 2 2 6" xfId="4387" xr:uid="{4D0E6AA6-491E-4861-B0B8-32219CC08BA6}"/>
    <cellStyle name="20% - Accent6 2 2 6 2" xfId="6616" xr:uid="{B2F2464B-6FAF-4DF5-85B0-6B0BD787CAAB}"/>
    <cellStyle name="20% - Accent6 2 2 6 2 2" xfId="10834" xr:uid="{70E66BE2-94B1-4A4C-99E9-ACAE02B33A1A}"/>
    <cellStyle name="20% - Accent6 2 2 6 3" xfId="8689" xr:uid="{59E2106C-8CCC-43E3-9214-39BFF96C0E31}"/>
    <cellStyle name="20% - Accent6 2 2 7" xfId="4800" xr:uid="{3DB192A5-60FC-4A31-8C61-35E147F33729}"/>
    <cellStyle name="20% - Accent6 2 2 7 2" xfId="9102" xr:uid="{A58EDE83-D00E-4854-A303-8EB86797AEA9}"/>
    <cellStyle name="20% - Accent6 2 2 8" xfId="7036" xr:uid="{DC53833B-4A4C-48C6-908C-790AC38B5F35}"/>
    <cellStyle name="20% - Accent6 2 2 9" xfId="2732" xr:uid="{220B9142-0B9F-43B4-AA73-683BA4059669}"/>
    <cellStyle name="20% - Accent6 2 3" xfId="45" xr:uid="{00000000-0005-0000-0000-000056000000}"/>
    <cellStyle name="20% - Accent6 2 3 10" xfId="1076" xr:uid="{1459DE13-4CC5-4CBE-A519-696035AEFCD7}"/>
    <cellStyle name="20% - Accent6 2 3 2" xfId="622" xr:uid="{00000000-0005-0000-0000-000057000000}"/>
    <cellStyle name="20% - Accent6 2 3 2 2" xfId="5379" xr:uid="{209BBFF0-8A4E-42B4-8FB7-27EDD48509FC}"/>
    <cellStyle name="20% - Accent6 2 3 2 2 2" xfId="9597" xr:uid="{99409652-2FC1-47C1-8878-52FE410FFC79}"/>
    <cellStyle name="20% - Accent6 2 3 2 3" xfId="7452" xr:uid="{34C1902B-E091-4FB0-AD5E-2FDAAFB80750}"/>
    <cellStyle name="20% - Accent6 2 3 2 4" xfId="3148" xr:uid="{576DCD1F-C997-437F-B210-D7F657D397C4}"/>
    <cellStyle name="20% - Accent6 2 3 2 5" xfId="2321" xr:uid="{7D2BE191-ED34-4BAE-96A0-81B3045135D6}"/>
    <cellStyle name="20% - Accent6 2 3 2 6" xfId="1492" xr:uid="{5377A1F6-223B-45E7-9FC1-CC967E9097F3}"/>
    <cellStyle name="20% - Accent6 2 3 3" xfId="3563" xr:uid="{F4C8AB8A-25BE-4E8A-B993-40BEAA87517A}"/>
    <cellStyle name="20% - Accent6 2 3 3 2" xfId="5792" xr:uid="{BC0EA858-1067-4CD9-8E34-241FC12615D3}"/>
    <cellStyle name="20% - Accent6 2 3 3 2 2" xfId="10010" xr:uid="{2605F1FF-EC47-4FD2-93EB-F1E9F3D12029}"/>
    <cellStyle name="20% - Accent6 2 3 3 3" xfId="7865" xr:uid="{8AD6C7F8-A5AE-4595-80AD-A46072EC3BA7}"/>
    <cellStyle name="20% - Accent6 2 3 4" xfId="3976" xr:uid="{386BBD33-F4F0-4291-AE62-345E4701C211}"/>
    <cellStyle name="20% - Accent6 2 3 4 2" xfId="6205" xr:uid="{D74FDDC7-8D09-49BA-9AA5-137356C7BA18}"/>
    <cellStyle name="20% - Accent6 2 3 4 2 2" xfId="10423" xr:uid="{B18782D9-A62E-418C-AA25-E8F89766794A}"/>
    <cellStyle name="20% - Accent6 2 3 4 3" xfId="8278" xr:uid="{D33BDDBC-5208-4106-A7FC-7947969C19DF}"/>
    <cellStyle name="20% - Accent6 2 3 5" xfId="4389" xr:uid="{AA16A30A-156E-4EBD-BD99-8F60281E5FDE}"/>
    <cellStyle name="20% - Accent6 2 3 5 2" xfId="6618" xr:uid="{8B0AB3C7-29E9-4872-B786-F1BA27F1AD4B}"/>
    <cellStyle name="20% - Accent6 2 3 5 2 2" xfId="10836" xr:uid="{0BDBFC0D-5940-4E78-97B5-0B858B2FBF49}"/>
    <cellStyle name="20% - Accent6 2 3 5 3" xfId="8691" xr:uid="{AF3A9D36-5164-4C94-8CAC-6A630C6EBB2A}"/>
    <cellStyle name="20% - Accent6 2 3 6" xfId="4802" xr:uid="{D988530D-657D-466D-A2B6-9822886B1252}"/>
    <cellStyle name="20% - Accent6 2 3 6 2" xfId="9104" xr:uid="{139F8855-5725-447A-9D9B-A5F65C299EC7}"/>
    <cellStyle name="20% - Accent6 2 3 7" xfId="7038" xr:uid="{5D45E417-08DF-4904-87F5-3451FF4FF222}"/>
    <cellStyle name="20% - Accent6 2 3 8" xfId="2734" xr:uid="{F34E7F3F-4CB7-437D-B7EA-8BDB11C377DF}"/>
    <cellStyle name="20% - Accent6 2 3 9" xfId="1905" xr:uid="{46EDF9F7-86B1-44D4-A0AD-FAECC90F934E}"/>
    <cellStyle name="20% - Accent6 2 4" xfId="619" xr:uid="{00000000-0005-0000-0000-000058000000}"/>
    <cellStyle name="20% - Accent6 2 4 2" xfId="5376" xr:uid="{512646DC-AAA3-40FD-9157-85E44CBC7CD4}"/>
    <cellStyle name="20% - Accent6 2 4 2 2" xfId="9594" xr:uid="{9C1E099C-98A5-4027-BA48-B5070F21F640}"/>
    <cellStyle name="20% - Accent6 2 4 3" xfId="7449" xr:uid="{EC2E71B8-B7B6-4C8D-B3EF-06DD547ADFE9}"/>
    <cellStyle name="20% - Accent6 2 4 4" xfId="3145" xr:uid="{D1490955-CFE4-4634-A598-1008BA1C2D9B}"/>
    <cellStyle name="20% - Accent6 2 4 5" xfId="2318" xr:uid="{483FD45F-716F-4BAA-9750-15F95B4B15BB}"/>
    <cellStyle name="20% - Accent6 2 4 6" xfId="1489" xr:uid="{28C79A27-66B4-4CC4-AD56-9CBD5FA68BF6}"/>
    <cellStyle name="20% - Accent6 2 5" xfId="3560" xr:uid="{A9C4FFFE-AF93-4DA5-B453-F7C28A0EBA0E}"/>
    <cellStyle name="20% - Accent6 2 5 2" xfId="5789" xr:uid="{FAA3DF64-9969-433A-B719-C21891F27377}"/>
    <cellStyle name="20% - Accent6 2 5 2 2" xfId="10007" xr:uid="{6F570ED4-30C1-418B-BFD0-B59EEA3AE352}"/>
    <cellStyle name="20% - Accent6 2 5 3" xfId="7862" xr:uid="{A47E7EF1-8B4C-484E-BA30-9DEEE292C223}"/>
    <cellStyle name="20% - Accent6 2 6" xfId="3973" xr:uid="{EB19B829-9B4A-4EEC-8C82-E1B86CBF3F8C}"/>
    <cellStyle name="20% - Accent6 2 6 2" xfId="6202" xr:uid="{553A5AC2-1B81-401A-A751-B72AE8F00E10}"/>
    <cellStyle name="20% - Accent6 2 6 2 2" xfId="10420" xr:uid="{34376F79-7B74-434B-8382-4E5B46258B90}"/>
    <cellStyle name="20% - Accent6 2 6 3" xfId="8275" xr:uid="{3579F015-A138-41F4-834E-D1F8E5C1ABF4}"/>
    <cellStyle name="20% - Accent6 2 7" xfId="4386" xr:uid="{02164C73-5B5C-4BF8-B7FE-4336FC1CC7DE}"/>
    <cellStyle name="20% - Accent6 2 7 2" xfId="6615" xr:uid="{85ABF6A5-9FEC-48F4-8C6C-631C4DCD264F}"/>
    <cellStyle name="20% - Accent6 2 7 2 2" xfId="10833" xr:uid="{6DB378B4-E8CB-4812-9CE8-56F00DEED487}"/>
    <cellStyle name="20% - Accent6 2 7 3" xfId="8688" xr:uid="{D5D006D3-B305-4E14-89D6-F5847C309FBB}"/>
    <cellStyle name="20% - Accent6 2 8" xfId="4799" xr:uid="{B02D7AB4-C0C3-4B6D-B981-CD1618B0B602}"/>
    <cellStyle name="20% - Accent6 2 8 2" xfId="9101" xr:uid="{51A2CBA0-1CE7-4EBB-8D75-2E27205A0224}"/>
    <cellStyle name="20% - Accent6 2 9" xfId="7035" xr:uid="{5B81E55E-9F8E-431B-A832-6FC87B61C3A7}"/>
    <cellStyle name="20% - Accent6 3" xfId="46" xr:uid="{00000000-0005-0000-0000-000059000000}"/>
    <cellStyle name="20% - Accent6 3 10" xfId="1906" xr:uid="{9F41EF34-0456-4C58-A366-E9D8E21E1049}"/>
    <cellStyle name="20% - Accent6 3 11" xfId="1077" xr:uid="{8C5A9577-9386-4559-A173-BB994C2184DC}"/>
    <cellStyle name="20% - Accent6 3 2" xfId="47" xr:uid="{00000000-0005-0000-0000-00005A000000}"/>
    <cellStyle name="20% - Accent6 3 2 10" xfId="1078" xr:uid="{B44E412C-A5AF-4A65-B45D-19AFC6E38A21}"/>
    <cellStyle name="20% - Accent6 3 2 2" xfId="624" xr:uid="{00000000-0005-0000-0000-00005B000000}"/>
    <cellStyle name="20% - Accent6 3 2 2 2" xfId="5381" xr:uid="{506B6547-D4E9-446F-9C7C-AF9AAE298036}"/>
    <cellStyle name="20% - Accent6 3 2 2 2 2" xfId="9599" xr:uid="{D69FA17B-DEFF-474E-A19F-CF34A9543FA9}"/>
    <cellStyle name="20% - Accent6 3 2 2 3" xfId="7454" xr:uid="{6CF9C013-79B5-4076-B3EC-70F49773A0AD}"/>
    <cellStyle name="20% - Accent6 3 2 2 4" xfId="3150" xr:uid="{97259612-2142-42B2-A9F9-D6786B50A7AA}"/>
    <cellStyle name="20% - Accent6 3 2 2 5" xfId="2323" xr:uid="{FD2DF7CD-AEE1-434D-B275-03D2D58FC3EA}"/>
    <cellStyle name="20% - Accent6 3 2 2 6" xfId="1494" xr:uid="{EA344727-657E-4E88-BE33-6B952292FF86}"/>
    <cellStyle name="20% - Accent6 3 2 3" xfId="3565" xr:uid="{5DB59ED7-A2CF-4C14-9BD4-7D5621A973BF}"/>
    <cellStyle name="20% - Accent6 3 2 3 2" xfId="5794" xr:uid="{F7DE168B-FA65-4C43-9556-2FEB3B3D0404}"/>
    <cellStyle name="20% - Accent6 3 2 3 2 2" xfId="10012" xr:uid="{2D114638-E7BF-490C-A2D6-014E37F9FD5C}"/>
    <cellStyle name="20% - Accent6 3 2 3 3" xfId="7867" xr:uid="{0D2EF25B-E755-425C-B7E0-6EC818008D15}"/>
    <cellStyle name="20% - Accent6 3 2 4" xfId="3978" xr:uid="{849E7DE4-92B1-43DB-87C6-24AAAB4A216A}"/>
    <cellStyle name="20% - Accent6 3 2 4 2" xfId="6207" xr:uid="{D75AA84E-AF74-4FD9-93F1-E66FB0E8AC27}"/>
    <cellStyle name="20% - Accent6 3 2 4 2 2" xfId="10425" xr:uid="{B6739A24-5FF9-4852-B5AC-C4A33B67D94C}"/>
    <cellStyle name="20% - Accent6 3 2 4 3" xfId="8280" xr:uid="{AC54EFF0-B51E-4BD3-83F5-469986F5B856}"/>
    <cellStyle name="20% - Accent6 3 2 5" xfId="4391" xr:uid="{00CF8863-2A84-44BF-9583-8A9CF8D67517}"/>
    <cellStyle name="20% - Accent6 3 2 5 2" xfId="6620" xr:uid="{FD3B5973-A4CC-48D3-89A1-D90C19CA82AF}"/>
    <cellStyle name="20% - Accent6 3 2 5 2 2" xfId="10838" xr:uid="{97C202E6-C7F6-463B-8B65-27939227AFA3}"/>
    <cellStyle name="20% - Accent6 3 2 5 3" xfId="8693" xr:uid="{64C683E0-5F29-4107-80B3-D16B40AFCD7A}"/>
    <cellStyle name="20% - Accent6 3 2 6" xfId="4804" xr:uid="{FD52437C-7D63-41FE-A87E-0CE94697E729}"/>
    <cellStyle name="20% - Accent6 3 2 6 2" xfId="9106" xr:uid="{477FBC16-58CC-4083-AD59-C86A7A6453E9}"/>
    <cellStyle name="20% - Accent6 3 2 7" xfId="7040" xr:uid="{E459299E-D4FB-43FB-AD56-65BEAF902EC8}"/>
    <cellStyle name="20% - Accent6 3 2 8" xfId="2736" xr:uid="{C0AD4832-E659-4FCC-9165-8B9E240FE315}"/>
    <cellStyle name="20% - Accent6 3 2 9" xfId="1907" xr:uid="{73F842C5-7700-48E2-B30A-48C591A4A23D}"/>
    <cellStyle name="20% - Accent6 3 3" xfId="623" xr:uid="{00000000-0005-0000-0000-00005C000000}"/>
    <cellStyle name="20% - Accent6 3 3 2" xfId="5380" xr:uid="{AA9A5875-1FD8-4D79-977D-61B32E727F13}"/>
    <cellStyle name="20% - Accent6 3 3 2 2" xfId="9598" xr:uid="{3A583E7B-7DB4-4DCA-9F92-1E0791567A89}"/>
    <cellStyle name="20% - Accent6 3 3 3" xfId="7453" xr:uid="{6C54BC41-9EC0-402D-A73F-2D3DDD1D39FA}"/>
    <cellStyle name="20% - Accent6 3 3 4" xfId="3149" xr:uid="{A5C43B32-2C46-423F-B485-9EAF967AD81A}"/>
    <cellStyle name="20% - Accent6 3 3 5" xfId="2322" xr:uid="{3951E4F3-F01F-4DE0-A579-9AE401ADC5E1}"/>
    <cellStyle name="20% - Accent6 3 3 6" xfId="1493" xr:uid="{645C99DE-2CF2-4D13-B532-117C7AEC9253}"/>
    <cellStyle name="20% - Accent6 3 4" xfId="3564" xr:uid="{A7F3B219-C77E-4158-A3C3-22F8DE405099}"/>
    <cellStyle name="20% - Accent6 3 4 2" xfId="5793" xr:uid="{5566BD98-4818-4108-AC01-916B3F0754D8}"/>
    <cellStyle name="20% - Accent6 3 4 2 2" xfId="10011" xr:uid="{EA654747-AFF6-4BF4-8376-7CA849057BD1}"/>
    <cellStyle name="20% - Accent6 3 4 3" xfId="7866" xr:uid="{296578D4-B689-4537-979F-64961649B933}"/>
    <cellStyle name="20% - Accent6 3 5" xfId="3977" xr:uid="{FFF1B172-70B5-4FDA-843A-80081C16AEC8}"/>
    <cellStyle name="20% - Accent6 3 5 2" xfId="6206" xr:uid="{D668688D-83FC-431E-9BBE-419D0B112A4E}"/>
    <cellStyle name="20% - Accent6 3 5 2 2" xfId="10424" xr:uid="{51453650-9AA2-4DEE-A8BA-3F103756A6DD}"/>
    <cellStyle name="20% - Accent6 3 5 3" xfId="8279" xr:uid="{7880EB1D-1BF0-4583-A0A8-8B8BF4BE3E35}"/>
    <cellStyle name="20% - Accent6 3 6" xfId="4390" xr:uid="{C022A6CC-5F94-459A-AD13-52AC14313F05}"/>
    <cellStyle name="20% - Accent6 3 6 2" xfId="6619" xr:uid="{4CFC1760-955E-4657-954A-CE66FB337716}"/>
    <cellStyle name="20% - Accent6 3 6 2 2" xfId="10837" xr:uid="{1D78CF84-462E-4E8B-901C-2523B3F511E7}"/>
    <cellStyle name="20% - Accent6 3 6 3" xfId="8692" xr:uid="{BB6C20A0-4368-49AE-8220-813F0EC77FDA}"/>
    <cellStyle name="20% - Accent6 3 7" xfId="4803" xr:uid="{C8DE21F3-B62B-4B2A-947C-BFA21FC1A65E}"/>
    <cellStyle name="20% - Accent6 3 7 2" xfId="9105" xr:uid="{0B70F263-1553-4383-9911-C8426CDDFCD6}"/>
    <cellStyle name="20% - Accent6 3 8" xfId="7039" xr:uid="{DE96CD9D-BC93-4F89-8087-AF26344B3EE7}"/>
    <cellStyle name="20% - Accent6 3 9" xfId="2735" xr:uid="{1811F42E-C60D-46AF-9F92-8C9BB25AC0EC}"/>
    <cellStyle name="20% - Accent6 4" xfId="48" xr:uid="{00000000-0005-0000-0000-00005D000000}"/>
    <cellStyle name="20% - Accent6 4 10" xfId="1079" xr:uid="{37135083-ED05-4C46-8ABB-CC6AC015966C}"/>
    <cellStyle name="20% - Accent6 4 2" xfId="625" xr:uid="{00000000-0005-0000-0000-00005E000000}"/>
    <cellStyle name="20% - Accent6 4 2 2" xfId="5382" xr:uid="{DB599406-1646-4D14-8B7C-C0E103362CCD}"/>
    <cellStyle name="20% - Accent6 4 2 2 2" xfId="9600" xr:uid="{AD4A8100-A10D-496E-BBB5-0327CF6AF008}"/>
    <cellStyle name="20% - Accent6 4 2 3" xfId="7455" xr:uid="{FCF8F410-2C56-41A9-9F06-2855CF6D52E6}"/>
    <cellStyle name="20% - Accent6 4 2 4" xfId="3151" xr:uid="{3D15C82E-825F-40A5-9F9B-A232CB5A693B}"/>
    <cellStyle name="20% - Accent6 4 2 5" xfId="2324" xr:uid="{164F5794-B6D9-4B1C-B82F-7ACD2AFC2BA9}"/>
    <cellStyle name="20% - Accent6 4 2 6" xfId="1495" xr:uid="{8B07906B-35C9-4615-A4E6-5BF591D73121}"/>
    <cellStyle name="20% - Accent6 4 3" xfId="3566" xr:uid="{D10296D8-0BE4-4701-ACC1-253B56B655D1}"/>
    <cellStyle name="20% - Accent6 4 3 2" xfId="5795" xr:uid="{B7B24E27-0396-48CB-8231-A62C99915321}"/>
    <cellStyle name="20% - Accent6 4 3 2 2" xfId="10013" xr:uid="{3D5F991F-558A-4947-A205-DA9073CC4534}"/>
    <cellStyle name="20% - Accent6 4 3 3" xfId="7868" xr:uid="{C5960027-6CD7-4453-852A-45599ADF05B1}"/>
    <cellStyle name="20% - Accent6 4 4" xfId="3979" xr:uid="{1C09AFED-CD46-4D50-B187-78ED071F8C77}"/>
    <cellStyle name="20% - Accent6 4 4 2" xfId="6208" xr:uid="{7305D748-4634-4C4A-84EA-CBFD0DBA835F}"/>
    <cellStyle name="20% - Accent6 4 4 2 2" xfId="10426" xr:uid="{E3F22698-BD64-455B-A087-B93008E1B765}"/>
    <cellStyle name="20% - Accent6 4 4 3" xfId="8281" xr:uid="{BB20651E-81E3-4875-B3FF-8668444C627A}"/>
    <cellStyle name="20% - Accent6 4 5" xfId="4392" xr:uid="{2E266C04-D824-4AD0-94B8-30968B1AF02B}"/>
    <cellStyle name="20% - Accent6 4 5 2" xfId="6621" xr:uid="{7D969EDE-ECEE-439C-A3BA-A22DAF60F2D6}"/>
    <cellStyle name="20% - Accent6 4 5 2 2" xfId="10839" xr:uid="{E90004E8-1741-496E-813E-F128B0FEDDE6}"/>
    <cellStyle name="20% - Accent6 4 5 3" xfId="8694" xr:uid="{3C71F6AE-8478-4F7A-8D97-D4EA0CE0345F}"/>
    <cellStyle name="20% - Accent6 4 6" xfId="4805" xr:uid="{3728ADCF-2ECC-414B-8C38-5DF5729002D3}"/>
    <cellStyle name="20% - Accent6 4 6 2" xfId="9107" xr:uid="{17BDAB8D-3F11-4433-94A8-056BB9391D6E}"/>
    <cellStyle name="20% - Accent6 4 7" xfId="7041" xr:uid="{A01028F9-AED1-43F3-BDD2-A83C01E467BF}"/>
    <cellStyle name="20% - Accent6 4 8" xfId="2737" xr:uid="{7A20D34C-1706-4364-9F7B-33370D79D923}"/>
    <cellStyle name="20% - Accent6 4 9" xfId="1908" xr:uid="{2130759D-2CFD-4A7B-90FC-5E9D10E981A3}"/>
    <cellStyle name="20% - Accent6 5" xfId="618" xr:uid="{00000000-0005-0000-0000-00005F000000}"/>
    <cellStyle name="20% - Accent6 5 2" xfId="5375" xr:uid="{F9DAE5DD-C5AD-40CA-A4FF-15702C9A6E36}"/>
    <cellStyle name="20% - Accent6 5 2 2" xfId="9593" xr:uid="{D345FE0A-06FC-429A-807B-12AEF74563E2}"/>
    <cellStyle name="20% - Accent6 5 3" xfId="7448" xr:uid="{980FC9BE-E0D3-40BA-A738-A247478C95CA}"/>
    <cellStyle name="20% - Accent6 5 4" xfId="3144" xr:uid="{7341AEFE-417C-4902-ACD4-51CBFACE3879}"/>
    <cellStyle name="20% - Accent6 5 5" xfId="2317" xr:uid="{48A57BD4-557B-4369-AF51-FF0C2FC97612}"/>
    <cellStyle name="20% - Accent6 5 6" xfId="1488" xr:uid="{E980B96E-2646-494C-B3AC-2D09D5716680}"/>
    <cellStyle name="20% - Accent6 6" xfId="3559" xr:uid="{8291C519-355A-485B-A039-A5474E4ABC8F}"/>
    <cellStyle name="20% - Accent6 6 2" xfId="5788" xr:uid="{9D1E3DD7-996A-485D-9D2A-3401E744E221}"/>
    <cellStyle name="20% - Accent6 6 2 2" xfId="10006" xr:uid="{ED857A84-6A81-4B7A-99F7-D660594C2AFC}"/>
    <cellStyle name="20% - Accent6 6 3" xfId="7861" xr:uid="{41781183-BAE8-48FD-BEDA-53451A8A8546}"/>
    <cellStyle name="20% - Accent6 7" xfId="3972" xr:uid="{C8773D64-78CB-4FF4-BB61-ADFA173004D9}"/>
    <cellStyle name="20% - Accent6 7 2" xfId="6201" xr:uid="{28460796-1080-4F06-AD61-931E04987E19}"/>
    <cellStyle name="20% - Accent6 7 2 2" xfId="10419" xr:uid="{57C4E290-F7EC-4008-B466-2A1A1C2B74FB}"/>
    <cellStyle name="20% - Accent6 7 3" xfId="8274" xr:uid="{A5B86C5F-64A4-4D8B-88B6-EF2513C86FA2}"/>
    <cellStyle name="20% - Accent6 8" xfId="4385" xr:uid="{1AD51500-6897-4098-8FC0-525FCB0CB41C}"/>
    <cellStyle name="20% - Accent6 8 2" xfId="6614" xr:uid="{16B18D82-A338-44CB-998A-52BC12274FD0}"/>
    <cellStyle name="20% - Accent6 8 2 2" xfId="10832" xr:uid="{6FE50289-2F1D-4115-A8CC-577FFF70351B}"/>
    <cellStyle name="20% - Accent6 8 3" xfId="8687" xr:uid="{25195EB3-BA24-45CE-B8DE-ABC38A77CCFC}"/>
    <cellStyle name="20% - Accent6 9" xfId="4798" xr:uid="{ABBB9EA7-FB2E-47A5-875E-B16A2B9681C5}"/>
    <cellStyle name="20% - Accent6 9 2" xfId="9100" xr:uid="{7FE7D4FB-BB6A-4B4C-A020-BD4487599CD8}"/>
    <cellStyle name="40% - Accent1" xfId="49" builtinId="31" customBuiltin="1"/>
    <cellStyle name="40% - Accent1 10" xfId="7042" xr:uid="{BAC80661-1DF4-4007-95D8-D01D5C4F2299}"/>
    <cellStyle name="40% - Accent1 11" xfId="2738" xr:uid="{42EAA0C8-E58A-4DE7-AEE5-7A807CC1B700}"/>
    <cellStyle name="40% - Accent1 12" xfId="1909" xr:uid="{98F8B693-44C7-47D9-85CB-D2DC7663B6C5}"/>
    <cellStyle name="40% - Accent1 13" xfId="1080" xr:uid="{1E99F003-9F6D-4537-9187-B5991391A9FC}"/>
    <cellStyle name="40% - Accent1 2" xfId="50" xr:uid="{00000000-0005-0000-0000-000061000000}"/>
    <cellStyle name="40% - Accent1 2 10" xfId="2739" xr:uid="{48404EBA-4AF0-4B62-8895-13E9DA6FA323}"/>
    <cellStyle name="40% - Accent1 2 11" xfId="1910" xr:uid="{00058985-F8E6-42C7-B811-F965017DEE37}"/>
    <cellStyle name="40% - Accent1 2 12" xfId="1081" xr:uid="{5A717E85-2FAA-4281-AA83-0937CA7A6545}"/>
    <cellStyle name="40% - Accent1 2 2" xfId="51" xr:uid="{00000000-0005-0000-0000-000062000000}"/>
    <cellStyle name="40% - Accent1 2 2 10" xfId="1911" xr:uid="{465E9678-8C16-4EA9-BDB2-A65B737C7C6F}"/>
    <cellStyle name="40% - Accent1 2 2 11" xfId="1082" xr:uid="{7A7DC0CD-D896-4FC4-961D-B42F39A95A7A}"/>
    <cellStyle name="40% - Accent1 2 2 2" xfId="52" xr:uid="{00000000-0005-0000-0000-000063000000}"/>
    <cellStyle name="40% - Accent1 2 2 2 10" xfId="1083" xr:uid="{540A5DC0-98F3-4523-8D54-D592B80A8B01}"/>
    <cellStyle name="40% - Accent1 2 2 2 2" xfId="629" xr:uid="{00000000-0005-0000-0000-000064000000}"/>
    <cellStyle name="40% - Accent1 2 2 2 2 2" xfId="5386" xr:uid="{085B14C9-19AE-4554-AF87-20D263C94335}"/>
    <cellStyle name="40% - Accent1 2 2 2 2 2 2" xfId="9604" xr:uid="{2F47086C-3709-4355-BF56-8D3ABBB42BCE}"/>
    <cellStyle name="40% - Accent1 2 2 2 2 3" xfId="7459" xr:uid="{B3B3154B-38AA-4F6D-A336-CF99B1D5316D}"/>
    <cellStyle name="40% - Accent1 2 2 2 2 4" xfId="3155" xr:uid="{8BC24F36-1A58-4C4A-ADD1-E855F1111694}"/>
    <cellStyle name="40% - Accent1 2 2 2 2 5" xfId="2328" xr:uid="{2161FC1C-D168-4432-9CF3-56258BCE485B}"/>
    <cellStyle name="40% - Accent1 2 2 2 2 6" xfId="1499" xr:uid="{65575418-C5F2-4D2C-9D2E-25E149ABA3D8}"/>
    <cellStyle name="40% - Accent1 2 2 2 3" xfId="3570" xr:uid="{9E6592D4-E9DB-4037-B1B8-3A8443F42E0E}"/>
    <cellStyle name="40% - Accent1 2 2 2 3 2" xfId="5799" xr:uid="{1FEE5389-D3A0-4D73-A15F-02E369F9D611}"/>
    <cellStyle name="40% - Accent1 2 2 2 3 2 2" xfId="10017" xr:uid="{81E63EC2-7AEA-42D4-B6FC-AB03B05B687E}"/>
    <cellStyle name="40% - Accent1 2 2 2 3 3" xfId="7872" xr:uid="{F8F56B24-13C5-43A5-AD88-E3A510C83C8B}"/>
    <cellStyle name="40% - Accent1 2 2 2 4" xfId="3983" xr:uid="{5DF92C4D-228C-4C9C-8A6F-7B289702D311}"/>
    <cellStyle name="40% - Accent1 2 2 2 4 2" xfId="6212" xr:uid="{DA693C9C-977B-4ADC-ADDD-B07E959FCD72}"/>
    <cellStyle name="40% - Accent1 2 2 2 4 2 2" xfId="10430" xr:uid="{4CDE600D-28E6-442C-9B9C-50B95F2DD3D1}"/>
    <cellStyle name="40% - Accent1 2 2 2 4 3" xfId="8285" xr:uid="{73CF81E9-C74B-4682-87B4-2B1FFF16FD3F}"/>
    <cellStyle name="40% - Accent1 2 2 2 5" xfId="4396" xr:uid="{D084C464-FADD-4A77-8774-1F2BE5286775}"/>
    <cellStyle name="40% - Accent1 2 2 2 5 2" xfId="6625" xr:uid="{3FEC93B2-D3E6-4A42-B668-B0E3F7898C8B}"/>
    <cellStyle name="40% - Accent1 2 2 2 5 2 2" xfId="10843" xr:uid="{44EEB012-8A91-4ACA-B82D-E9932B313ECB}"/>
    <cellStyle name="40% - Accent1 2 2 2 5 3" xfId="8698" xr:uid="{B370A50A-E5ED-4058-8C5A-17219BCF61B0}"/>
    <cellStyle name="40% - Accent1 2 2 2 6" xfId="4809" xr:uid="{4A8BFF9C-28A7-4257-A93A-5319949983B7}"/>
    <cellStyle name="40% - Accent1 2 2 2 6 2" xfId="9111" xr:uid="{AB91BEDE-1D43-4F29-84F0-FA5538A31A59}"/>
    <cellStyle name="40% - Accent1 2 2 2 7" xfId="7045" xr:uid="{24FB5286-3246-464A-B62D-19646B3D3778}"/>
    <cellStyle name="40% - Accent1 2 2 2 8" xfId="2741" xr:uid="{7469AA54-18C4-4036-8E8D-D0335D72067A}"/>
    <cellStyle name="40% - Accent1 2 2 2 9" xfId="1912" xr:uid="{40CEFCA8-50E4-472C-8B63-05CB2DFE232B}"/>
    <cellStyle name="40% - Accent1 2 2 3" xfId="628" xr:uid="{00000000-0005-0000-0000-000065000000}"/>
    <cellStyle name="40% - Accent1 2 2 3 2" xfId="5385" xr:uid="{F9AFD40D-3E36-4662-A875-10100636AACD}"/>
    <cellStyle name="40% - Accent1 2 2 3 2 2" xfId="9603" xr:uid="{6882B303-70B6-4A2F-9CDA-806700B2D149}"/>
    <cellStyle name="40% - Accent1 2 2 3 3" xfId="7458" xr:uid="{E4BD0FFF-1B37-470B-8CC0-F1133CE87982}"/>
    <cellStyle name="40% - Accent1 2 2 3 4" xfId="3154" xr:uid="{605D1F36-0027-43D7-AA3B-3A97A30D7A6B}"/>
    <cellStyle name="40% - Accent1 2 2 3 5" xfId="2327" xr:uid="{E7F613E9-2393-434C-A127-6311F45695AF}"/>
    <cellStyle name="40% - Accent1 2 2 3 6" xfId="1498" xr:uid="{C8564655-B95B-49AB-89F8-A4CD9B6E7A2B}"/>
    <cellStyle name="40% - Accent1 2 2 4" xfId="3569" xr:uid="{3D219CE9-0FC3-4AB1-BA2F-2B24581307A3}"/>
    <cellStyle name="40% - Accent1 2 2 4 2" xfId="5798" xr:uid="{F95D888C-2248-4348-8FE5-A96C5A863CCA}"/>
    <cellStyle name="40% - Accent1 2 2 4 2 2" xfId="10016" xr:uid="{FB40A324-BC8A-4C90-99F6-08671BA960FE}"/>
    <cellStyle name="40% - Accent1 2 2 4 3" xfId="7871" xr:uid="{C4C9F6EA-483C-40EB-B600-E8D295141225}"/>
    <cellStyle name="40% - Accent1 2 2 5" xfId="3982" xr:uid="{12EF4056-B3B7-4EE3-B791-E9389D7DA8CA}"/>
    <cellStyle name="40% - Accent1 2 2 5 2" xfId="6211" xr:uid="{C5EA8C9E-287B-4770-B82E-3E2627267C96}"/>
    <cellStyle name="40% - Accent1 2 2 5 2 2" xfId="10429" xr:uid="{FC2C4645-AF07-4269-9085-F5ED8F2DDA8B}"/>
    <cellStyle name="40% - Accent1 2 2 5 3" xfId="8284" xr:uid="{7F9E6B84-EA6C-4948-85CE-511409D0A637}"/>
    <cellStyle name="40% - Accent1 2 2 6" xfId="4395" xr:uid="{EC8B3850-58DA-44B9-916F-3FF12618A41F}"/>
    <cellStyle name="40% - Accent1 2 2 6 2" xfId="6624" xr:uid="{D7EAA067-95F1-4CD2-827D-8DE3FECAFBAD}"/>
    <cellStyle name="40% - Accent1 2 2 6 2 2" xfId="10842" xr:uid="{D526B616-B1AF-4ACD-83FA-01C7AE06657F}"/>
    <cellStyle name="40% - Accent1 2 2 6 3" xfId="8697" xr:uid="{14454BD9-FDAA-4D3E-BCC4-15D6770ECD25}"/>
    <cellStyle name="40% - Accent1 2 2 7" xfId="4808" xr:uid="{B0743F68-420E-4A64-B3B2-1044A5447A44}"/>
    <cellStyle name="40% - Accent1 2 2 7 2" xfId="9110" xr:uid="{7A998CC3-461F-4F46-9A51-2D3C35018FD1}"/>
    <cellStyle name="40% - Accent1 2 2 8" xfId="7044" xr:uid="{493367C7-47B3-406A-A01E-12901A6688A7}"/>
    <cellStyle name="40% - Accent1 2 2 9" xfId="2740" xr:uid="{C70A8F09-EF70-4218-8536-CA782EA8DBCA}"/>
    <cellStyle name="40% - Accent1 2 3" xfId="53" xr:uid="{00000000-0005-0000-0000-000066000000}"/>
    <cellStyle name="40% - Accent1 2 3 10" xfId="1084" xr:uid="{686516EC-35F7-4CFE-9E17-C1E901FC99DD}"/>
    <cellStyle name="40% - Accent1 2 3 2" xfId="630" xr:uid="{00000000-0005-0000-0000-000067000000}"/>
    <cellStyle name="40% - Accent1 2 3 2 2" xfId="5387" xr:uid="{A539DDF2-F6CC-45A1-9F19-13B00CE459CB}"/>
    <cellStyle name="40% - Accent1 2 3 2 2 2" xfId="9605" xr:uid="{67179634-832D-4200-889A-582049B339B5}"/>
    <cellStyle name="40% - Accent1 2 3 2 3" xfId="7460" xr:uid="{06A1213A-CC8E-4EB4-9195-47CDF4118634}"/>
    <cellStyle name="40% - Accent1 2 3 2 4" xfId="3156" xr:uid="{32A2DCF2-C249-4486-85A5-574107427C45}"/>
    <cellStyle name="40% - Accent1 2 3 2 5" xfId="2329" xr:uid="{5A32A752-1BD1-49B6-B6B4-FC8B22CD8102}"/>
    <cellStyle name="40% - Accent1 2 3 2 6" xfId="1500" xr:uid="{A0D019A1-634C-48A6-9C42-E15F626B4729}"/>
    <cellStyle name="40% - Accent1 2 3 3" xfId="3571" xr:uid="{E61F4C6B-3693-40BA-9715-4CD5A2B34244}"/>
    <cellStyle name="40% - Accent1 2 3 3 2" xfId="5800" xr:uid="{2558AD70-8F8E-4F2F-82FF-867134D40DD5}"/>
    <cellStyle name="40% - Accent1 2 3 3 2 2" xfId="10018" xr:uid="{D6286E64-4C4B-4DA9-A73C-B76CE2B53AA8}"/>
    <cellStyle name="40% - Accent1 2 3 3 3" xfId="7873" xr:uid="{7363E979-692F-4F90-BE00-C1C519C6E529}"/>
    <cellStyle name="40% - Accent1 2 3 4" xfId="3984" xr:uid="{5DB23614-F8D3-4D25-BE83-ED06FC4A54DE}"/>
    <cellStyle name="40% - Accent1 2 3 4 2" xfId="6213" xr:uid="{BBCB12E4-8B0B-4EC7-A812-5505B98D83D6}"/>
    <cellStyle name="40% - Accent1 2 3 4 2 2" xfId="10431" xr:uid="{7E6F2214-8B77-4A60-9438-39798708C7FD}"/>
    <cellStyle name="40% - Accent1 2 3 4 3" xfId="8286" xr:uid="{1D441EF6-9AC3-4209-A0A3-AF06B890916D}"/>
    <cellStyle name="40% - Accent1 2 3 5" xfId="4397" xr:uid="{34A1962C-C0F1-4C39-9666-19A48592C4BC}"/>
    <cellStyle name="40% - Accent1 2 3 5 2" xfId="6626" xr:uid="{18AD00DC-1237-49D9-B6FA-CB27EAA0521B}"/>
    <cellStyle name="40% - Accent1 2 3 5 2 2" xfId="10844" xr:uid="{06B17A4E-4DF4-42C7-9A0D-BFCFEC8DC54D}"/>
    <cellStyle name="40% - Accent1 2 3 5 3" xfId="8699" xr:uid="{68257CF5-A0C3-40A2-8FA1-496F45610309}"/>
    <cellStyle name="40% - Accent1 2 3 6" xfId="4810" xr:uid="{62A8CE92-7C14-4C9E-ADC2-4D1571B431ED}"/>
    <cellStyle name="40% - Accent1 2 3 6 2" xfId="9112" xr:uid="{1AF4601F-5591-46DB-A1E4-6A6005D7CD4A}"/>
    <cellStyle name="40% - Accent1 2 3 7" xfId="7046" xr:uid="{360D026F-26E9-4D8A-A225-F83D35DBA334}"/>
    <cellStyle name="40% - Accent1 2 3 8" xfId="2742" xr:uid="{412BE97B-848C-4CD0-AB5B-1E28F781753D}"/>
    <cellStyle name="40% - Accent1 2 3 9" xfId="1913" xr:uid="{DCEF03A6-ED57-4904-97A7-F7C1517340FB}"/>
    <cellStyle name="40% - Accent1 2 4" xfId="627" xr:uid="{00000000-0005-0000-0000-000068000000}"/>
    <cellStyle name="40% - Accent1 2 4 2" xfId="5384" xr:uid="{46041618-450D-455F-8E63-370ACD5DE5BF}"/>
    <cellStyle name="40% - Accent1 2 4 2 2" xfId="9602" xr:uid="{A6F71256-BAC9-4873-87FA-4D94780E98C5}"/>
    <cellStyle name="40% - Accent1 2 4 3" xfId="7457" xr:uid="{4601AB15-04CF-4E13-9CCE-2B763317D0D2}"/>
    <cellStyle name="40% - Accent1 2 4 4" xfId="3153" xr:uid="{2F5DE167-B97A-4569-A9C4-2FBF4225B9BA}"/>
    <cellStyle name="40% - Accent1 2 4 5" xfId="2326" xr:uid="{B0384CCA-A86D-4C20-8587-4D139B3D56BF}"/>
    <cellStyle name="40% - Accent1 2 4 6" xfId="1497" xr:uid="{4DD231B6-FDF9-4CA7-B63D-90EDE3A7BD2F}"/>
    <cellStyle name="40% - Accent1 2 5" xfId="3568" xr:uid="{A5934D73-C8D0-449B-940A-1AB4F62070A3}"/>
    <cellStyle name="40% - Accent1 2 5 2" xfId="5797" xr:uid="{84A71583-D776-45F4-8794-43E5F5211B06}"/>
    <cellStyle name="40% - Accent1 2 5 2 2" xfId="10015" xr:uid="{B7727164-4C4E-4DF6-9ACD-ACE761DD4227}"/>
    <cellStyle name="40% - Accent1 2 5 3" xfId="7870" xr:uid="{17B66847-7F38-4EFD-B35F-E50C65EB0E7E}"/>
    <cellStyle name="40% - Accent1 2 6" xfId="3981" xr:uid="{E10A41CF-27FD-4C0C-A9A3-06EAE091BC86}"/>
    <cellStyle name="40% - Accent1 2 6 2" xfId="6210" xr:uid="{762587B7-94C6-40A6-AB90-17B877FC0130}"/>
    <cellStyle name="40% - Accent1 2 6 2 2" xfId="10428" xr:uid="{DBBA766A-6DCB-434D-B016-AF7BDEB361F2}"/>
    <cellStyle name="40% - Accent1 2 6 3" xfId="8283" xr:uid="{6A4688DA-7367-43F8-B404-9688D96B5C6D}"/>
    <cellStyle name="40% - Accent1 2 7" xfId="4394" xr:uid="{1A09839A-2CA9-4A48-9127-4A7B44DEBED6}"/>
    <cellStyle name="40% - Accent1 2 7 2" xfId="6623" xr:uid="{364E13FE-4FC8-4577-BB05-7AE57E29376D}"/>
    <cellStyle name="40% - Accent1 2 7 2 2" xfId="10841" xr:uid="{12889E7E-CEF6-4453-B87B-8B4C7B5C0A5B}"/>
    <cellStyle name="40% - Accent1 2 7 3" xfId="8696" xr:uid="{362F7FC2-D2F4-417B-B5AB-D7B1C60F77AF}"/>
    <cellStyle name="40% - Accent1 2 8" xfId="4807" xr:uid="{277BA936-03B3-4739-B896-DE2A9D4EDB14}"/>
    <cellStyle name="40% - Accent1 2 8 2" xfId="9109" xr:uid="{9FFA66C5-D796-42D6-96B5-E91A063AC2CA}"/>
    <cellStyle name="40% - Accent1 2 9" xfId="7043" xr:uid="{A55001F2-961F-4208-BE96-09A574757310}"/>
    <cellStyle name="40% - Accent1 3" xfId="54" xr:uid="{00000000-0005-0000-0000-000069000000}"/>
    <cellStyle name="40% - Accent1 3 10" xfId="1914" xr:uid="{ED6949C5-A9F8-449C-B00C-F58F844CC2F3}"/>
    <cellStyle name="40% - Accent1 3 11" xfId="1085" xr:uid="{1A040040-6BDE-43F1-AC93-3D73514EBF25}"/>
    <cellStyle name="40% - Accent1 3 2" xfId="55" xr:uid="{00000000-0005-0000-0000-00006A000000}"/>
    <cellStyle name="40% - Accent1 3 2 10" xfId="1086" xr:uid="{855290F3-A285-4D17-AD50-5CBD4F232E6C}"/>
    <cellStyle name="40% - Accent1 3 2 2" xfId="632" xr:uid="{00000000-0005-0000-0000-00006B000000}"/>
    <cellStyle name="40% - Accent1 3 2 2 2" xfId="5389" xr:uid="{483DAF72-0B4C-4908-91AD-756503994E38}"/>
    <cellStyle name="40% - Accent1 3 2 2 2 2" xfId="9607" xr:uid="{BBCD7B4D-47E6-4EAA-A2E3-E1FBD5164160}"/>
    <cellStyle name="40% - Accent1 3 2 2 3" xfId="7462" xr:uid="{C10EDF70-0816-4495-9489-ED021ADF14E3}"/>
    <cellStyle name="40% - Accent1 3 2 2 4" xfId="3158" xr:uid="{423633E8-1E98-4FB6-B110-5017A11BDE53}"/>
    <cellStyle name="40% - Accent1 3 2 2 5" xfId="2331" xr:uid="{0910D000-023E-413B-B7A5-6063371FDA99}"/>
    <cellStyle name="40% - Accent1 3 2 2 6" xfId="1502" xr:uid="{E364D784-2AE0-4FFB-B07C-F9A04CEAA9F7}"/>
    <cellStyle name="40% - Accent1 3 2 3" xfId="3573" xr:uid="{945A17DA-FCC1-40E9-BCDB-138AD199A366}"/>
    <cellStyle name="40% - Accent1 3 2 3 2" xfId="5802" xr:uid="{5A6C6384-25F7-4FF8-87C5-E5C0B8C22E5D}"/>
    <cellStyle name="40% - Accent1 3 2 3 2 2" xfId="10020" xr:uid="{9A745B7C-8E16-4D1C-9F4C-06003EEEDFCF}"/>
    <cellStyle name="40% - Accent1 3 2 3 3" xfId="7875" xr:uid="{B58D7CAC-C99E-4988-BE03-B7453B983D67}"/>
    <cellStyle name="40% - Accent1 3 2 4" xfId="3986" xr:uid="{B49F8D75-2614-4F6A-B9B7-EA010D6A1C07}"/>
    <cellStyle name="40% - Accent1 3 2 4 2" xfId="6215" xr:uid="{0F0ED2ED-8203-482B-8518-E351B39EAEB3}"/>
    <cellStyle name="40% - Accent1 3 2 4 2 2" xfId="10433" xr:uid="{D45CCC17-DF03-4AE1-84BE-6ACCFDA1F4BC}"/>
    <cellStyle name="40% - Accent1 3 2 4 3" xfId="8288" xr:uid="{41797F7B-F12B-4D25-88DB-83A899FE6AFF}"/>
    <cellStyle name="40% - Accent1 3 2 5" xfId="4399" xr:uid="{373627B0-8E6D-45C8-A232-6D446A02CA7E}"/>
    <cellStyle name="40% - Accent1 3 2 5 2" xfId="6628" xr:uid="{1A685EAB-47C7-4424-8506-88C053890AFC}"/>
    <cellStyle name="40% - Accent1 3 2 5 2 2" xfId="10846" xr:uid="{460C264D-3CA8-4E5E-BDE1-DD16B8EEE37F}"/>
    <cellStyle name="40% - Accent1 3 2 5 3" xfId="8701" xr:uid="{2AAC1823-58D9-4D83-8258-A378BB683D94}"/>
    <cellStyle name="40% - Accent1 3 2 6" xfId="4812" xr:uid="{EEF65AD9-C895-4947-8D03-28F231A706AB}"/>
    <cellStyle name="40% - Accent1 3 2 6 2" xfId="9114" xr:uid="{0342B34E-33F3-4D5D-8F2D-D6792FB41C8F}"/>
    <cellStyle name="40% - Accent1 3 2 7" xfId="7048" xr:uid="{629B22FA-AB24-4400-B701-F837BF12A1CA}"/>
    <cellStyle name="40% - Accent1 3 2 8" xfId="2744" xr:uid="{881191BB-DCDF-4F6B-90C6-D7D88D7BBC1D}"/>
    <cellStyle name="40% - Accent1 3 2 9" xfId="1915" xr:uid="{63CC82EF-C1FB-4849-B7D7-8918A251F5FC}"/>
    <cellStyle name="40% - Accent1 3 3" xfId="631" xr:uid="{00000000-0005-0000-0000-00006C000000}"/>
    <cellStyle name="40% - Accent1 3 3 2" xfId="5388" xr:uid="{D48C7B1D-08A0-4577-A4BE-77E635F0A2E8}"/>
    <cellStyle name="40% - Accent1 3 3 2 2" xfId="9606" xr:uid="{F821978D-9A20-40A1-8E4F-C7CE3288B998}"/>
    <cellStyle name="40% - Accent1 3 3 3" xfId="7461" xr:uid="{47725794-B2E0-45D3-AA55-EC365F678BF7}"/>
    <cellStyle name="40% - Accent1 3 3 4" xfId="3157" xr:uid="{6BF53E04-C2DB-4D2B-BE00-C1FB7BD4CAD5}"/>
    <cellStyle name="40% - Accent1 3 3 5" xfId="2330" xr:uid="{736B2DBC-D09B-4432-9712-2F06A515EC88}"/>
    <cellStyle name="40% - Accent1 3 3 6" xfId="1501" xr:uid="{FDCEFA0B-4C08-42D8-AD8A-F5ABF46F9F5D}"/>
    <cellStyle name="40% - Accent1 3 4" xfId="3572" xr:uid="{D9674B02-EB3C-4DFB-B400-4C14134ACEEB}"/>
    <cellStyle name="40% - Accent1 3 4 2" xfId="5801" xr:uid="{1AE2C689-57D4-459F-95E5-380F3396963A}"/>
    <cellStyle name="40% - Accent1 3 4 2 2" xfId="10019" xr:uid="{C2291EAE-FB11-4C64-9E75-57045FE1318F}"/>
    <cellStyle name="40% - Accent1 3 4 3" xfId="7874" xr:uid="{9D62D4B7-8A90-4304-9A39-BB9EC8232F02}"/>
    <cellStyle name="40% - Accent1 3 5" xfId="3985" xr:uid="{1600A007-0C16-4A46-9FFC-FF69260784C2}"/>
    <cellStyle name="40% - Accent1 3 5 2" xfId="6214" xr:uid="{E2BCE8D9-0742-471C-A2FC-45EA6FCA3F72}"/>
    <cellStyle name="40% - Accent1 3 5 2 2" xfId="10432" xr:uid="{322871C6-2E99-4135-B7DE-9147361756BB}"/>
    <cellStyle name="40% - Accent1 3 5 3" xfId="8287" xr:uid="{301A637D-8820-4921-930B-41FBD121DE73}"/>
    <cellStyle name="40% - Accent1 3 6" xfId="4398" xr:uid="{1BAF0EF4-C0A0-46E5-AB1C-0F46ADE42E47}"/>
    <cellStyle name="40% - Accent1 3 6 2" xfId="6627" xr:uid="{D6EAC26B-C84E-444E-8004-6665A5AF8892}"/>
    <cellStyle name="40% - Accent1 3 6 2 2" xfId="10845" xr:uid="{9D421B56-B737-4ABE-BE12-8AAA69FC2046}"/>
    <cellStyle name="40% - Accent1 3 6 3" xfId="8700" xr:uid="{CADAD23D-A62E-48D6-945C-B6F4C990C4CB}"/>
    <cellStyle name="40% - Accent1 3 7" xfId="4811" xr:uid="{4D45495B-BD3E-465D-8C0E-D9ABE2CF2FE0}"/>
    <cellStyle name="40% - Accent1 3 7 2" xfId="9113" xr:uid="{1B50C74A-B41B-45AE-9ACB-32E0FDEC64C2}"/>
    <cellStyle name="40% - Accent1 3 8" xfId="7047" xr:uid="{1B029CBD-B5B6-452C-B787-AA6A7B84522A}"/>
    <cellStyle name="40% - Accent1 3 9" xfId="2743" xr:uid="{57F5DA48-D3A2-4DE0-9669-45142FFD77CF}"/>
    <cellStyle name="40% - Accent1 4" xfId="56" xr:uid="{00000000-0005-0000-0000-00006D000000}"/>
    <cellStyle name="40% - Accent1 4 10" xfId="1087" xr:uid="{59F78111-18A5-4C69-B2F1-A1EFA47CC438}"/>
    <cellStyle name="40% - Accent1 4 2" xfId="633" xr:uid="{00000000-0005-0000-0000-00006E000000}"/>
    <cellStyle name="40% - Accent1 4 2 2" xfId="5390" xr:uid="{127775CD-10E3-45A0-B1B5-866FC3ECADE9}"/>
    <cellStyle name="40% - Accent1 4 2 2 2" xfId="9608" xr:uid="{DA225FB1-D857-4E0C-A5A1-5336C1503C7C}"/>
    <cellStyle name="40% - Accent1 4 2 3" xfId="7463" xr:uid="{B1298895-5D23-4BC9-AA61-F7CA8CB6A1FE}"/>
    <cellStyle name="40% - Accent1 4 2 4" xfId="3159" xr:uid="{FBCA4CF6-6428-464C-A248-6791A469E0C3}"/>
    <cellStyle name="40% - Accent1 4 2 5" xfId="2332" xr:uid="{BA82FF5F-D2BE-44B7-A2CA-54C58B1761D3}"/>
    <cellStyle name="40% - Accent1 4 2 6" xfId="1503" xr:uid="{82C9F302-1FAC-4DDB-B8CF-3CD0505E235B}"/>
    <cellStyle name="40% - Accent1 4 3" xfId="3574" xr:uid="{A4BF3A2B-03AC-447D-9DBC-A1686116B7AC}"/>
    <cellStyle name="40% - Accent1 4 3 2" xfId="5803" xr:uid="{2D00FE20-356F-4BF8-AAC1-217F035F7107}"/>
    <cellStyle name="40% - Accent1 4 3 2 2" xfId="10021" xr:uid="{3064399C-AC44-40B2-8840-14F851F32157}"/>
    <cellStyle name="40% - Accent1 4 3 3" xfId="7876" xr:uid="{21CB46E0-D826-47E8-8BBE-41A21D41783F}"/>
    <cellStyle name="40% - Accent1 4 4" xfId="3987" xr:uid="{1886E5BE-6B4A-401B-AE8C-69F9DEDDB799}"/>
    <cellStyle name="40% - Accent1 4 4 2" xfId="6216" xr:uid="{4D5C0829-5430-4797-A719-DB3E3D9AC275}"/>
    <cellStyle name="40% - Accent1 4 4 2 2" xfId="10434" xr:uid="{E2775C63-FE28-4F18-B36E-959B1CFD96F6}"/>
    <cellStyle name="40% - Accent1 4 4 3" xfId="8289" xr:uid="{05544A21-FEE5-4FCE-A6E0-09CE448208B2}"/>
    <cellStyle name="40% - Accent1 4 5" xfId="4400" xr:uid="{F19ED4F9-0E8B-4BFA-B7C8-1F56C8C46B26}"/>
    <cellStyle name="40% - Accent1 4 5 2" xfId="6629" xr:uid="{EA476715-B55D-4F95-AB37-F16A0A5FEC47}"/>
    <cellStyle name="40% - Accent1 4 5 2 2" xfId="10847" xr:uid="{47858CBD-8EA9-43D6-8581-99CCDDCBB4FD}"/>
    <cellStyle name="40% - Accent1 4 5 3" xfId="8702" xr:uid="{9029AABA-C804-4A40-95C7-526CD5D4905C}"/>
    <cellStyle name="40% - Accent1 4 6" xfId="4813" xr:uid="{A43F7EC7-1BFB-469C-B494-6E1A4FE0C1BB}"/>
    <cellStyle name="40% - Accent1 4 6 2" xfId="9115" xr:uid="{CD29FACD-1A61-47CF-8914-6D8CE0FEA8EC}"/>
    <cellStyle name="40% - Accent1 4 7" xfId="7049" xr:uid="{57484894-DDC9-466F-A7B9-3E7A5C573916}"/>
    <cellStyle name="40% - Accent1 4 8" xfId="2745" xr:uid="{EA86B050-88A5-4AEA-A9CE-31DC8D0E2D5A}"/>
    <cellStyle name="40% - Accent1 4 9" xfId="1916" xr:uid="{40B93AE9-FDAC-4ADE-9D8A-51071BAE73FB}"/>
    <cellStyle name="40% - Accent1 5" xfId="626" xr:uid="{00000000-0005-0000-0000-00006F000000}"/>
    <cellStyle name="40% - Accent1 5 2" xfId="5383" xr:uid="{6879613C-4B77-4ECE-9682-FA2381D3F168}"/>
    <cellStyle name="40% - Accent1 5 2 2" xfId="9601" xr:uid="{BAA80F8A-34FE-48ED-B137-4FC11C00846C}"/>
    <cellStyle name="40% - Accent1 5 3" xfId="7456" xr:uid="{CC885255-7F86-40C8-B7F1-F15D9511368F}"/>
    <cellStyle name="40% - Accent1 5 4" xfId="3152" xr:uid="{929A45F4-4BC9-444E-87AD-9BA9CAE63329}"/>
    <cellStyle name="40% - Accent1 5 5" xfId="2325" xr:uid="{E564EC90-9375-40C7-86E3-BCF5E14A9C67}"/>
    <cellStyle name="40% - Accent1 5 6" xfId="1496" xr:uid="{1F20B7DC-FB24-4E7C-8B34-06920499FCCF}"/>
    <cellStyle name="40% - Accent1 6" xfId="3567" xr:uid="{76DBFB14-9810-4B02-A211-4490C15FDB5C}"/>
    <cellStyle name="40% - Accent1 6 2" xfId="5796" xr:uid="{6D25C466-255D-4674-AD2B-27965CAED506}"/>
    <cellStyle name="40% - Accent1 6 2 2" xfId="10014" xr:uid="{5937A9BD-8F7D-4D3D-A620-26E711F7BF84}"/>
    <cellStyle name="40% - Accent1 6 3" xfId="7869" xr:uid="{A28E4E54-C2D2-4565-8D51-A866CDEDA441}"/>
    <cellStyle name="40% - Accent1 7" xfId="3980" xr:uid="{EED70792-EB02-4A16-A60B-2ACE91FB40E5}"/>
    <cellStyle name="40% - Accent1 7 2" xfId="6209" xr:uid="{BC16FA5F-5649-4686-9871-6E2CB98ED75E}"/>
    <cellStyle name="40% - Accent1 7 2 2" xfId="10427" xr:uid="{02D34DCA-C755-45F9-94F7-7BD2DFA3DF34}"/>
    <cellStyle name="40% - Accent1 7 3" xfId="8282" xr:uid="{8A9CE8FB-0B13-44B0-B811-FCE348BF3F38}"/>
    <cellStyle name="40% - Accent1 8" xfId="4393" xr:uid="{061BFA37-71B5-4094-B476-1C8EEC6F2B2B}"/>
    <cellStyle name="40% - Accent1 8 2" xfId="6622" xr:uid="{5A3E85D6-B486-42D9-91C3-2E907A23FEC2}"/>
    <cellStyle name="40% - Accent1 8 2 2" xfId="10840" xr:uid="{0C9D46D0-5751-471A-B8B4-FA625DF24414}"/>
    <cellStyle name="40% - Accent1 8 3" xfId="8695" xr:uid="{FFCADA23-F91F-4F03-98AC-032BBCD6319A}"/>
    <cellStyle name="40% - Accent1 9" xfId="4806" xr:uid="{4D02C18D-9649-4628-AE54-A0B8FEC48F75}"/>
    <cellStyle name="40% - Accent1 9 2" xfId="9108" xr:uid="{1D78CCB6-FF70-4C8C-9EF5-47CE98FCCD6E}"/>
    <cellStyle name="40% - Accent2" xfId="57" builtinId="35" customBuiltin="1"/>
    <cellStyle name="40% - Accent2 10" xfId="7050" xr:uid="{7826D9EB-7DA6-4F61-987E-7B97BB98DDE9}"/>
    <cellStyle name="40% - Accent2 11" xfId="2746" xr:uid="{AC9AE287-A683-4243-A280-51316BD941FB}"/>
    <cellStyle name="40% - Accent2 12" xfId="1917" xr:uid="{B827D205-7829-445C-9F33-EF11944D25AF}"/>
    <cellStyle name="40% - Accent2 13" xfId="1088" xr:uid="{45D07295-FCAF-4D52-9CE2-543ED166828F}"/>
    <cellStyle name="40% - Accent2 2" xfId="58" xr:uid="{00000000-0005-0000-0000-000071000000}"/>
    <cellStyle name="40% - Accent2 2 10" xfId="2747" xr:uid="{DCDE1D3A-13EB-48EA-A86E-2D0D2022643F}"/>
    <cellStyle name="40% - Accent2 2 11" xfId="1918" xr:uid="{7803E792-C103-41E7-89E1-AD80AB23EDB7}"/>
    <cellStyle name="40% - Accent2 2 12" xfId="1089" xr:uid="{550EF189-569C-495C-B15E-61FD6224D80E}"/>
    <cellStyle name="40% - Accent2 2 2" xfId="59" xr:uid="{00000000-0005-0000-0000-000072000000}"/>
    <cellStyle name="40% - Accent2 2 2 10" xfId="1919" xr:uid="{F8F9FEA0-A8D2-46AC-BB1B-C6D13BA82AEA}"/>
    <cellStyle name="40% - Accent2 2 2 11" xfId="1090" xr:uid="{1E6A1387-CA61-4547-87A7-09B9CFE2AC28}"/>
    <cellStyle name="40% - Accent2 2 2 2" xfId="60" xr:uid="{00000000-0005-0000-0000-000073000000}"/>
    <cellStyle name="40% - Accent2 2 2 2 10" xfId="1091" xr:uid="{AD05CD32-1E16-48BA-A4C4-5F0E5F4F23D2}"/>
    <cellStyle name="40% - Accent2 2 2 2 2" xfId="637" xr:uid="{00000000-0005-0000-0000-000074000000}"/>
    <cellStyle name="40% - Accent2 2 2 2 2 2" xfId="5394" xr:uid="{F879DDEB-3137-4678-BDA0-9FCEA5A6DE60}"/>
    <cellStyle name="40% - Accent2 2 2 2 2 2 2" xfId="9612" xr:uid="{474F33FE-444A-4170-9CBD-C8C829C890F3}"/>
    <cellStyle name="40% - Accent2 2 2 2 2 3" xfId="7467" xr:uid="{F6B18F69-11FB-436B-919C-030711558A27}"/>
    <cellStyle name="40% - Accent2 2 2 2 2 4" xfId="3163" xr:uid="{C5663396-E7B3-42DC-B2A4-DE5D38D5D128}"/>
    <cellStyle name="40% - Accent2 2 2 2 2 5" xfId="2336" xr:uid="{5B002929-5A50-41BE-97CA-8173935BDDD5}"/>
    <cellStyle name="40% - Accent2 2 2 2 2 6" xfId="1507" xr:uid="{82F88976-3FA9-4338-A6B6-5B43579858CE}"/>
    <cellStyle name="40% - Accent2 2 2 2 3" xfId="3578" xr:uid="{DDF8FDAC-AFF3-48F8-859C-DAE5859BB17D}"/>
    <cellStyle name="40% - Accent2 2 2 2 3 2" xfId="5807" xr:uid="{8D076F41-CC98-429D-A806-334D600EAAB7}"/>
    <cellStyle name="40% - Accent2 2 2 2 3 2 2" xfId="10025" xr:uid="{A186BC62-CCF9-41C1-BB90-5D4546E9DCD3}"/>
    <cellStyle name="40% - Accent2 2 2 2 3 3" xfId="7880" xr:uid="{3E1E98C8-E408-4805-87F1-1B1D6286A1F8}"/>
    <cellStyle name="40% - Accent2 2 2 2 4" xfId="3991" xr:uid="{73705FBF-21DD-4EC3-82EA-5F16DC57FC8B}"/>
    <cellStyle name="40% - Accent2 2 2 2 4 2" xfId="6220" xr:uid="{B03ED0D2-7587-4EE4-A20E-DDB3DCECF8E3}"/>
    <cellStyle name="40% - Accent2 2 2 2 4 2 2" xfId="10438" xr:uid="{06432C89-F9C4-4894-87C0-DB376947BEE3}"/>
    <cellStyle name="40% - Accent2 2 2 2 4 3" xfId="8293" xr:uid="{373B1AB2-EB7E-42AE-B79F-21ECAFB29676}"/>
    <cellStyle name="40% - Accent2 2 2 2 5" xfId="4404" xr:uid="{25C5CD21-1DE5-4DAE-A753-D72368114289}"/>
    <cellStyle name="40% - Accent2 2 2 2 5 2" xfId="6633" xr:uid="{FDDFCFE9-8B20-4DEC-8363-4BCB6F9126A4}"/>
    <cellStyle name="40% - Accent2 2 2 2 5 2 2" xfId="10851" xr:uid="{2084857A-4032-469C-9508-D17D5246EC05}"/>
    <cellStyle name="40% - Accent2 2 2 2 5 3" xfId="8706" xr:uid="{8CB271AB-F364-4490-9132-82A6C89F989A}"/>
    <cellStyle name="40% - Accent2 2 2 2 6" xfId="4817" xr:uid="{40950CF5-4F62-439A-A388-967190A4C908}"/>
    <cellStyle name="40% - Accent2 2 2 2 6 2" xfId="9119" xr:uid="{6A0FFAF7-70B7-4500-9788-745916FAE53C}"/>
    <cellStyle name="40% - Accent2 2 2 2 7" xfId="7053" xr:uid="{8A815850-F239-4378-8B40-D4F617ED0A64}"/>
    <cellStyle name="40% - Accent2 2 2 2 8" xfId="2749" xr:uid="{93FB45B5-676E-458F-9BB9-8CC7C6A2D687}"/>
    <cellStyle name="40% - Accent2 2 2 2 9" xfId="1920" xr:uid="{CB96A633-88A3-482D-96B8-B886203A23AC}"/>
    <cellStyle name="40% - Accent2 2 2 3" xfId="636" xr:uid="{00000000-0005-0000-0000-000075000000}"/>
    <cellStyle name="40% - Accent2 2 2 3 2" xfId="5393" xr:uid="{448C373A-5D57-430D-92C9-728A08DDAD90}"/>
    <cellStyle name="40% - Accent2 2 2 3 2 2" xfId="9611" xr:uid="{2422A94E-F35D-4862-B8F3-0CC70299F944}"/>
    <cellStyle name="40% - Accent2 2 2 3 3" xfId="7466" xr:uid="{600B5EC4-3B7E-4947-8135-582965C88413}"/>
    <cellStyle name="40% - Accent2 2 2 3 4" xfId="3162" xr:uid="{4BFC5429-1717-436A-AB62-7000068BDD77}"/>
    <cellStyle name="40% - Accent2 2 2 3 5" xfId="2335" xr:uid="{DC58BEE5-015A-4A0D-A62E-0981684E79CE}"/>
    <cellStyle name="40% - Accent2 2 2 3 6" xfId="1506" xr:uid="{0EF3D3D5-3620-44B5-B337-C5696923A88A}"/>
    <cellStyle name="40% - Accent2 2 2 4" xfId="3577" xr:uid="{8A34E58C-56A9-41B5-9145-ED18F2FE903D}"/>
    <cellStyle name="40% - Accent2 2 2 4 2" xfId="5806" xr:uid="{4332C6AC-00A7-4EB8-9AA2-ABD37E1A04C5}"/>
    <cellStyle name="40% - Accent2 2 2 4 2 2" xfId="10024" xr:uid="{2E1B8467-9519-4D1B-8D2E-477A23CA03EC}"/>
    <cellStyle name="40% - Accent2 2 2 4 3" xfId="7879" xr:uid="{09E1CBCF-4DD8-48A5-944E-F66AE141EFC1}"/>
    <cellStyle name="40% - Accent2 2 2 5" xfId="3990" xr:uid="{823052FA-8C7E-4027-9F5A-58880F98B85F}"/>
    <cellStyle name="40% - Accent2 2 2 5 2" xfId="6219" xr:uid="{2953C03A-0A39-4E70-BADA-3CB21795D7CF}"/>
    <cellStyle name="40% - Accent2 2 2 5 2 2" xfId="10437" xr:uid="{FA862F13-0ED3-429F-8258-0E0BCF1EDA64}"/>
    <cellStyle name="40% - Accent2 2 2 5 3" xfId="8292" xr:uid="{7B08A26C-6327-448C-813D-BB471617BBB3}"/>
    <cellStyle name="40% - Accent2 2 2 6" xfId="4403" xr:uid="{F3065426-AFE4-4DFB-856F-733A5D4565C0}"/>
    <cellStyle name="40% - Accent2 2 2 6 2" xfId="6632" xr:uid="{8BA7CBC6-CA64-4147-B889-4B3CFBADE985}"/>
    <cellStyle name="40% - Accent2 2 2 6 2 2" xfId="10850" xr:uid="{FAB4A829-EAAB-4F43-8D1B-8913822461E0}"/>
    <cellStyle name="40% - Accent2 2 2 6 3" xfId="8705" xr:uid="{7B0EEEFA-325B-4396-B631-CFC734410BBB}"/>
    <cellStyle name="40% - Accent2 2 2 7" xfId="4816" xr:uid="{E621BA76-619B-4EEE-9258-3585630582E9}"/>
    <cellStyle name="40% - Accent2 2 2 7 2" xfId="9118" xr:uid="{42CA82EE-0036-4C25-B9E8-419108EE6E7B}"/>
    <cellStyle name="40% - Accent2 2 2 8" xfId="7052" xr:uid="{3092DC30-01A8-4FAD-B31E-CF3320245210}"/>
    <cellStyle name="40% - Accent2 2 2 9" xfId="2748" xr:uid="{7CBAECDB-73E4-4E7B-BD90-B55FEF9739F5}"/>
    <cellStyle name="40% - Accent2 2 3" xfId="61" xr:uid="{00000000-0005-0000-0000-000076000000}"/>
    <cellStyle name="40% - Accent2 2 3 10" xfId="1092" xr:uid="{F5528257-0342-4DE3-AF13-0D4BD3FBBD26}"/>
    <cellStyle name="40% - Accent2 2 3 2" xfId="638" xr:uid="{00000000-0005-0000-0000-000077000000}"/>
    <cellStyle name="40% - Accent2 2 3 2 2" xfId="5395" xr:uid="{CB6BBA3F-0A0F-47BD-B61D-6D521284A541}"/>
    <cellStyle name="40% - Accent2 2 3 2 2 2" xfId="9613" xr:uid="{B85EF119-5618-4E88-92F8-F530903EC3E7}"/>
    <cellStyle name="40% - Accent2 2 3 2 3" xfId="7468" xr:uid="{4FF8637D-053F-493F-8CD1-5612C5955265}"/>
    <cellStyle name="40% - Accent2 2 3 2 4" xfId="3164" xr:uid="{0D57294C-A20D-4B8A-B533-E1603883279F}"/>
    <cellStyle name="40% - Accent2 2 3 2 5" xfId="2337" xr:uid="{1F71DAC1-B39D-476C-92C5-C2B95D12FBEF}"/>
    <cellStyle name="40% - Accent2 2 3 2 6" xfId="1508" xr:uid="{30152424-DD27-4B3F-AFCB-11C679A4451A}"/>
    <cellStyle name="40% - Accent2 2 3 3" xfId="3579" xr:uid="{E1D80EB8-78BD-4EBB-8DA3-5ACBCFDDAB8E}"/>
    <cellStyle name="40% - Accent2 2 3 3 2" xfId="5808" xr:uid="{2334A88A-7346-4992-B5F5-84BA3A380B07}"/>
    <cellStyle name="40% - Accent2 2 3 3 2 2" xfId="10026" xr:uid="{96011C4E-993A-4764-A6E2-7846685DD248}"/>
    <cellStyle name="40% - Accent2 2 3 3 3" xfId="7881" xr:uid="{54594D4C-E7A1-4ECF-8961-69E41FA5F984}"/>
    <cellStyle name="40% - Accent2 2 3 4" xfId="3992" xr:uid="{FA49E837-0937-43C1-B558-ADFCBEEC2EC1}"/>
    <cellStyle name="40% - Accent2 2 3 4 2" xfId="6221" xr:uid="{83E8AED2-DFEA-42EB-81FE-2E8B81E14761}"/>
    <cellStyle name="40% - Accent2 2 3 4 2 2" xfId="10439" xr:uid="{F4A09818-8F5B-42F3-9CA0-0EF6BB7E8D15}"/>
    <cellStyle name="40% - Accent2 2 3 4 3" xfId="8294" xr:uid="{47E2984A-62A9-4B71-81FB-ACE130396CBE}"/>
    <cellStyle name="40% - Accent2 2 3 5" xfId="4405" xr:uid="{5A7E9ACC-692E-412F-A1B9-07C37E1BDB24}"/>
    <cellStyle name="40% - Accent2 2 3 5 2" xfId="6634" xr:uid="{7B5D04A8-F77E-4E49-9913-A7E00FDDB9E0}"/>
    <cellStyle name="40% - Accent2 2 3 5 2 2" xfId="10852" xr:uid="{B865D7DA-593D-436C-9D43-AF473CF66E14}"/>
    <cellStyle name="40% - Accent2 2 3 5 3" xfId="8707" xr:uid="{63337CFC-83AA-45BA-8135-7FA1A042C9D9}"/>
    <cellStyle name="40% - Accent2 2 3 6" xfId="4818" xr:uid="{EA187F8D-EEB9-4B19-8B7E-2071024E323D}"/>
    <cellStyle name="40% - Accent2 2 3 6 2" xfId="9120" xr:uid="{008901E0-B20C-42F2-80F5-CF5C76B0BC9A}"/>
    <cellStyle name="40% - Accent2 2 3 7" xfId="7054" xr:uid="{F20A8569-BB29-47E3-9CA3-9A98B11EA5F6}"/>
    <cellStyle name="40% - Accent2 2 3 8" xfId="2750" xr:uid="{963D5282-A391-4043-8D2C-FC0CC4DE2A1D}"/>
    <cellStyle name="40% - Accent2 2 3 9" xfId="1921" xr:uid="{604229B0-EA6A-4728-8B5F-804CB3059349}"/>
    <cellStyle name="40% - Accent2 2 4" xfId="635" xr:uid="{00000000-0005-0000-0000-000078000000}"/>
    <cellStyle name="40% - Accent2 2 4 2" xfId="5392" xr:uid="{44D65B2E-E623-4A50-9965-2692AD480703}"/>
    <cellStyle name="40% - Accent2 2 4 2 2" xfId="9610" xr:uid="{9B8C8F60-AE0C-406F-A72A-7471D4C4EAD8}"/>
    <cellStyle name="40% - Accent2 2 4 3" xfId="7465" xr:uid="{5252EDF7-3386-439B-8ECE-AFFE69BAB330}"/>
    <cellStyle name="40% - Accent2 2 4 4" xfId="3161" xr:uid="{0D0D608F-EE3A-4F7B-997B-E469C5D89DA0}"/>
    <cellStyle name="40% - Accent2 2 4 5" xfId="2334" xr:uid="{D61CA7A0-E257-47EA-87A1-1530465EF27D}"/>
    <cellStyle name="40% - Accent2 2 4 6" xfId="1505" xr:uid="{8ABBF766-65AD-4133-BA8A-E00D6990BC80}"/>
    <cellStyle name="40% - Accent2 2 5" xfId="3576" xr:uid="{E951459E-FE40-43F7-B233-6918F3507085}"/>
    <cellStyle name="40% - Accent2 2 5 2" xfId="5805" xr:uid="{93A97A44-7835-480B-9BF6-FF93D46D7106}"/>
    <cellStyle name="40% - Accent2 2 5 2 2" xfId="10023" xr:uid="{0641915F-C7BC-4611-9412-DBE017F898F7}"/>
    <cellStyle name="40% - Accent2 2 5 3" xfId="7878" xr:uid="{B9A43CE6-00CD-459C-A934-10CDD00D2BB2}"/>
    <cellStyle name="40% - Accent2 2 6" xfId="3989" xr:uid="{28EB6F22-4ABE-4F5C-BB73-2DFCDAA504F7}"/>
    <cellStyle name="40% - Accent2 2 6 2" xfId="6218" xr:uid="{AD6AA789-AA33-4B5A-A434-A5A3FDEB375B}"/>
    <cellStyle name="40% - Accent2 2 6 2 2" xfId="10436" xr:uid="{F2F5543F-BE40-4401-83C1-6C2462561FDA}"/>
    <cellStyle name="40% - Accent2 2 6 3" xfId="8291" xr:uid="{FE8A2BD3-98F7-411D-A70F-3BEA2644ACEA}"/>
    <cellStyle name="40% - Accent2 2 7" xfId="4402" xr:uid="{65493F07-345D-49FE-BE31-69C547C7C34A}"/>
    <cellStyle name="40% - Accent2 2 7 2" xfId="6631" xr:uid="{D4B7581C-FC64-46C1-A215-990F366BBBE4}"/>
    <cellStyle name="40% - Accent2 2 7 2 2" xfId="10849" xr:uid="{4CA3168F-AE6D-4452-B443-52430752F571}"/>
    <cellStyle name="40% - Accent2 2 7 3" xfId="8704" xr:uid="{A3A13DF4-8AF1-482F-9AA7-CB4A4B571806}"/>
    <cellStyle name="40% - Accent2 2 8" xfId="4815" xr:uid="{4DB3F440-07A6-4E2B-95BD-A4229251804A}"/>
    <cellStyle name="40% - Accent2 2 8 2" xfId="9117" xr:uid="{5CABFC07-6FC1-4BA2-844D-304DFDA9E50F}"/>
    <cellStyle name="40% - Accent2 2 9" xfId="7051" xr:uid="{78A33F13-B60C-46FF-AFDC-20725C01FC65}"/>
    <cellStyle name="40% - Accent2 3" xfId="62" xr:uid="{00000000-0005-0000-0000-000079000000}"/>
    <cellStyle name="40% - Accent2 3 10" xfId="1922" xr:uid="{C45DAC16-07FB-4D08-9A0D-52DECCC20343}"/>
    <cellStyle name="40% - Accent2 3 11" xfId="1093" xr:uid="{424162A7-9BFF-460C-8FA5-D27CEEEAC9E5}"/>
    <cellStyle name="40% - Accent2 3 2" xfId="63" xr:uid="{00000000-0005-0000-0000-00007A000000}"/>
    <cellStyle name="40% - Accent2 3 2 10" xfId="1094" xr:uid="{CDD01E65-EC1A-4C55-A792-2DE7F2D85E72}"/>
    <cellStyle name="40% - Accent2 3 2 2" xfId="640" xr:uid="{00000000-0005-0000-0000-00007B000000}"/>
    <cellStyle name="40% - Accent2 3 2 2 2" xfId="5397" xr:uid="{5EF43E9B-1360-4CD5-818D-E2A531CAC8F0}"/>
    <cellStyle name="40% - Accent2 3 2 2 2 2" xfId="9615" xr:uid="{E8267A98-3526-47F3-A30F-1CBA37430350}"/>
    <cellStyle name="40% - Accent2 3 2 2 3" xfId="7470" xr:uid="{32A460F5-76D3-4DF4-BA66-4D56A286750C}"/>
    <cellStyle name="40% - Accent2 3 2 2 4" xfId="3166" xr:uid="{680E70B1-1646-4D16-96FB-D7F90DB34591}"/>
    <cellStyle name="40% - Accent2 3 2 2 5" xfId="2339" xr:uid="{C6EB7689-3189-42BF-9FB1-DA77F8F2B670}"/>
    <cellStyle name="40% - Accent2 3 2 2 6" xfId="1510" xr:uid="{D7BAFF1C-20C7-41E6-A570-994C9B130E81}"/>
    <cellStyle name="40% - Accent2 3 2 3" xfId="3581" xr:uid="{D8A39C29-6CF4-488C-B53E-45662B3E8988}"/>
    <cellStyle name="40% - Accent2 3 2 3 2" xfId="5810" xr:uid="{5A11CC55-CE90-4D29-9236-DB682B3D611F}"/>
    <cellStyle name="40% - Accent2 3 2 3 2 2" xfId="10028" xr:uid="{233758C3-E745-4EAF-B4C9-4803A86C7CED}"/>
    <cellStyle name="40% - Accent2 3 2 3 3" xfId="7883" xr:uid="{48799A36-1960-4E6F-93CD-AE8D55CA59CC}"/>
    <cellStyle name="40% - Accent2 3 2 4" xfId="3994" xr:uid="{060C5F3C-AEA4-4ABD-8B91-D74D596644AB}"/>
    <cellStyle name="40% - Accent2 3 2 4 2" xfId="6223" xr:uid="{E45DE99B-5D44-4B36-AFED-AE049AE730E9}"/>
    <cellStyle name="40% - Accent2 3 2 4 2 2" xfId="10441" xr:uid="{DB30F03B-8895-485E-B1A6-465768BE1AAE}"/>
    <cellStyle name="40% - Accent2 3 2 4 3" xfId="8296" xr:uid="{D8F88AA8-8D5D-4311-9AD1-FEEF88D216BB}"/>
    <cellStyle name="40% - Accent2 3 2 5" xfId="4407" xr:uid="{0BE26076-E635-4937-9BD9-A07345F5A18D}"/>
    <cellStyle name="40% - Accent2 3 2 5 2" xfId="6636" xr:uid="{7A4E0341-74B5-4576-B1EA-B62A70C10C31}"/>
    <cellStyle name="40% - Accent2 3 2 5 2 2" xfId="10854" xr:uid="{11EC2267-3C12-4CA3-8D06-C4C7F754B5CA}"/>
    <cellStyle name="40% - Accent2 3 2 5 3" xfId="8709" xr:uid="{C9D54D25-C396-47D8-B80C-9D3C1B15E4C0}"/>
    <cellStyle name="40% - Accent2 3 2 6" xfId="4820" xr:uid="{80AFB021-D895-442B-8969-7B739E3F3A08}"/>
    <cellStyle name="40% - Accent2 3 2 6 2" xfId="9122" xr:uid="{421DD626-2197-4D6D-A885-75B87D6455C6}"/>
    <cellStyle name="40% - Accent2 3 2 7" xfId="7056" xr:uid="{84EE4EB6-7A5C-440E-87DB-FF234B1DDDAC}"/>
    <cellStyle name="40% - Accent2 3 2 8" xfId="2752" xr:uid="{ABEC843E-A0C9-43E5-ADAE-4191539554C7}"/>
    <cellStyle name="40% - Accent2 3 2 9" xfId="1923" xr:uid="{B1FD33DA-89A8-44C8-A258-747FAD35A83E}"/>
    <cellStyle name="40% - Accent2 3 3" xfId="639" xr:uid="{00000000-0005-0000-0000-00007C000000}"/>
    <cellStyle name="40% - Accent2 3 3 2" xfId="5396" xr:uid="{8B640422-EA54-4110-B213-719D27A11665}"/>
    <cellStyle name="40% - Accent2 3 3 2 2" xfId="9614" xr:uid="{E514913B-BC96-4CA6-89FB-AC36B3B745CB}"/>
    <cellStyle name="40% - Accent2 3 3 3" xfId="7469" xr:uid="{B863F17D-E99E-4244-BC09-1392A984C933}"/>
    <cellStyle name="40% - Accent2 3 3 4" xfId="3165" xr:uid="{D993F61E-505E-41D8-B16A-F137C3F4CCC5}"/>
    <cellStyle name="40% - Accent2 3 3 5" xfId="2338" xr:uid="{941671FC-CD43-4B73-9D9D-34809345ED41}"/>
    <cellStyle name="40% - Accent2 3 3 6" xfId="1509" xr:uid="{03E0016C-1CD1-4C30-B96F-C27885BB4392}"/>
    <cellStyle name="40% - Accent2 3 4" xfId="3580" xr:uid="{E203FCE2-07AC-42E7-9BE1-2271FE893BBE}"/>
    <cellStyle name="40% - Accent2 3 4 2" xfId="5809" xr:uid="{06693236-35E8-4347-BD2F-764D17F1D8E7}"/>
    <cellStyle name="40% - Accent2 3 4 2 2" xfId="10027" xr:uid="{763FF381-DA37-4C78-88D7-CAF3D2C95E43}"/>
    <cellStyle name="40% - Accent2 3 4 3" xfId="7882" xr:uid="{BB3837DE-3C85-4304-BC62-F2C3A8CCC4C9}"/>
    <cellStyle name="40% - Accent2 3 5" xfId="3993" xr:uid="{D3BE2965-427E-432A-BDE8-274871F84D2E}"/>
    <cellStyle name="40% - Accent2 3 5 2" xfId="6222" xr:uid="{C1A11124-6C7B-47C6-8D32-0C293FF7860D}"/>
    <cellStyle name="40% - Accent2 3 5 2 2" xfId="10440" xr:uid="{6A320D9E-67D6-4BE2-B09B-9782C3F0E033}"/>
    <cellStyle name="40% - Accent2 3 5 3" xfId="8295" xr:uid="{77AD80B2-97BD-4845-8062-ED996CB5BBD6}"/>
    <cellStyle name="40% - Accent2 3 6" xfId="4406" xr:uid="{F5C1C758-4359-4D56-8B03-3D0F2AA5F5B4}"/>
    <cellStyle name="40% - Accent2 3 6 2" xfId="6635" xr:uid="{219E88E9-7602-42F5-8C33-D5EE785865A2}"/>
    <cellStyle name="40% - Accent2 3 6 2 2" xfId="10853" xr:uid="{BD393C0C-D5E9-4D34-8D95-A658EC20D331}"/>
    <cellStyle name="40% - Accent2 3 6 3" xfId="8708" xr:uid="{654C68A1-691B-45FA-BA73-B5E96E88972B}"/>
    <cellStyle name="40% - Accent2 3 7" xfId="4819" xr:uid="{3B8012C0-0171-4AC9-AFDC-F7FF3D62EBD3}"/>
    <cellStyle name="40% - Accent2 3 7 2" xfId="9121" xr:uid="{7A993631-A6EC-4EBB-B1DE-13AB97F56D55}"/>
    <cellStyle name="40% - Accent2 3 8" xfId="7055" xr:uid="{E65CBB25-C342-4748-9A6C-A717CDF2533E}"/>
    <cellStyle name="40% - Accent2 3 9" xfId="2751" xr:uid="{A2A498AD-9B9E-4E34-9EBC-D58229ECB032}"/>
    <cellStyle name="40% - Accent2 4" xfId="64" xr:uid="{00000000-0005-0000-0000-00007D000000}"/>
    <cellStyle name="40% - Accent2 4 10" xfId="1095" xr:uid="{5AF2B7D1-CE18-4C00-98A0-3955A1E8E123}"/>
    <cellStyle name="40% - Accent2 4 2" xfId="641" xr:uid="{00000000-0005-0000-0000-00007E000000}"/>
    <cellStyle name="40% - Accent2 4 2 2" xfId="5398" xr:uid="{67C58792-8401-42EE-ACC5-5941D4E469F5}"/>
    <cellStyle name="40% - Accent2 4 2 2 2" xfId="9616" xr:uid="{1F0BE812-2DA6-4E6D-91B2-7BEA95D98E49}"/>
    <cellStyle name="40% - Accent2 4 2 3" xfId="7471" xr:uid="{A4D9B456-A696-4AD7-9E44-51C3B4EAC46F}"/>
    <cellStyle name="40% - Accent2 4 2 4" xfId="3167" xr:uid="{CFBA18EA-F444-43D2-8E88-B2D3C34990C5}"/>
    <cellStyle name="40% - Accent2 4 2 5" xfId="2340" xr:uid="{977B1A7A-6B4A-4BD5-A859-6FAE76681BB2}"/>
    <cellStyle name="40% - Accent2 4 2 6" xfId="1511" xr:uid="{0C87D70A-923F-445C-B58A-2C6606802810}"/>
    <cellStyle name="40% - Accent2 4 3" xfId="3582" xr:uid="{8209099B-1D88-43FB-B1B9-3046D3200773}"/>
    <cellStyle name="40% - Accent2 4 3 2" xfId="5811" xr:uid="{332DB3F7-20F1-4691-8115-706361F97EA2}"/>
    <cellStyle name="40% - Accent2 4 3 2 2" xfId="10029" xr:uid="{F9FA1F7C-A04F-4B61-9752-07BF3CE5B541}"/>
    <cellStyle name="40% - Accent2 4 3 3" xfId="7884" xr:uid="{7D321008-C7FD-4B6B-88C9-972FEBFE94F7}"/>
    <cellStyle name="40% - Accent2 4 4" xfId="3995" xr:uid="{BEE10F42-6C92-437E-BB7B-20A99B5C7F99}"/>
    <cellStyle name="40% - Accent2 4 4 2" xfId="6224" xr:uid="{ED3F9BBF-298C-43A9-8CF9-B0EBC6808F65}"/>
    <cellStyle name="40% - Accent2 4 4 2 2" xfId="10442" xr:uid="{5F19742D-6DDC-4BCC-AE66-6AD6AE7D9233}"/>
    <cellStyle name="40% - Accent2 4 4 3" xfId="8297" xr:uid="{75350E47-710E-445F-B2E7-6C6BFF612343}"/>
    <cellStyle name="40% - Accent2 4 5" xfId="4408" xr:uid="{F9584B2D-869F-4973-9A26-249848C44E9C}"/>
    <cellStyle name="40% - Accent2 4 5 2" xfId="6637" xr:uid="{73F21CD3-A84A-4902-B2F8-E0D4F006DE08}"/>
    <cellStyle name="40% - Accent2 4 5 2 2" xfId="10855" xr:uid="{2E03929F-FD8F-4F41-BDCE-101664C23464}"/>
    <cellStyle name="40% - Accent2 4 5 3" xfId="8710" xr:uid="{67F9DB14-02BB-4CCF-B699-798D6DF11260}"/>
    <cellStyle name="40% - Accent2 4 6" xfId="4821" xr:uid="{9BE020A7-F2EB-42A1-ADBD-AA44C6B712B5}"/>
    <cellStyle name="40% - Accent2 4 6 2" xfId="9123" xr:uid="{073E2812-138A-4878-AC4A-71BB591029A1}"/>
    <cellStyle name="40% - Accent2 4 7" xfId="7057" xr:uid="{12BCDE14-E357-4566-B291-6AF07A817A15}"/>
    <cellStyle name="40% - Accent2 4 8" xfId="2753" xr:uid="{D687C6D7-EF22-4572-818B-E01524D6B22C}"/>
    <cellStyle name="40% - Accent2 4 9" xfId="1924" xr:uid="{3AAEF4CA-F7A5-4B15-843A-F1804970B4C9}"/>
    <cellStyle name="40% - Accent2 5" xfId="634" xr:uid="{00000000-0005-0000-0000-00007F000000}"/>
    <cellStyle name="40% - Accent2 5 2" xfId="5391" xr:uid="{35285158-61B0-44E9-A184-97AFB7DBE49F}"/>
    <cellStyle name="40% - Accent2 5 2 2" xfId="9609" xr:uid="{7ADA2EA8-3F27-474D-BB38-F942FF3165DF}"/>
    <cellStyle name="40% - Accent2 5 3" xfId="7464" xr:uid="{A95C9AAE-02E7-44F4-8995-E284C209902F}"/>
    <cellStyle name="40% - Accent2 5 4" xfId="3160" xr:uid="{E32842C9-BED6-43A7-87BF-4EF408B91496}"/>
    <cellStyle name="40% - Accent2 5 5" xfId="2333" xr:uid="{FC895E9B-93A7-4217-8274-9D6622450B89}"/>
    <cellStyle name="40% - Accent2 5 6" xfId="1504" xr:uid="{C072F8AE-705C-4157-8DB9-EFDB125C6224}"/>
    <cellStyle name="40% - Accent2 6" xfId="3575" xr:uid="{6D826A56-8890-4201-AE90-89CBCB534D5C}"/>
    <cellStyle name="40% - Accent2 6 2" xfId="5804" xr:uid="{ACE9B057-200F-427D-A1DB-D85DB9B343FC}"/>
    <cellStyle name="40% - Accent2 6 2 2" xfId="10022" xr:uid="{4C759C79-24D8-4473-BBC2-121CE4652706}"/>
    <cellStyle name="40% - Accent2 6 3" xfId="7877" xr:uid="{F74C31AE-5837-496E-99A2-10EFF89271DD}"/>
    <cellStyle name="40% - Accent2 7" xfId="3988" xr:uid="{CFA8F178-9A7C-43EB-944E-C49B2BC3F02A}"/>
    <cellStyle name="40% - Accent2 7 2" xfId="6217" xr:uid="{912F2663-B9A5-466B-9A0A-80C8D91DE1D7}"/>
    <cellStyle name="40% - Accent2 7 2 2" xfId="10435" xr:uid="{A3B0F94A-1749-4F3B-9FEF-5A46F1FA827B}"/>
    <cellStyle name="40% - Accent2 7 3" xfId="8290" xr:uid="{BB9F088D-3ED3-41C3-A89A-D3CF971B95EC}"/>
    <cellStyle name="40% - Accent2 8" xfId="4401" xr:uid="{BDCBC9FE-46B9-4B66-8D0F-7F8E1BF6EE16}"/>
    <cellStyle name="40% - Accent2 8 2" xfId="6630" xr:uid="{76C4CCCA-F078-4729-8A34-A56756F8EF10}"/>
    <cellStyle name="40% - Accent2 8 2 2" xfId="10848" xr:uid="{38197A15-D9A5-40AF-A6A3-3957B62470C2}"/>
    <cellStyle name="40% - Accent2 8 3" xfId="8703" xr:uid="{B44DBE33-9329-49A1-8232-8E3CA1AE6A86}"/>
    <cellStyle name="40% - Accent2 9" xfId="4814" xr:uid="{35491959-9728-4F36-B9C9-EBD4819F6843}"/>
    <cellStyle name="40% - Accent2 9 2" xfId="9116" xr:uid="{14306196-57C8-4F57-93F0-19CD5C249BAA}"/>
    <cellStyle name="40% - Accent3" xfId="65" builtinId="39" customBuiltin="1"/>
    <cellStyle name="40% - Accent3 10" xfId="7058" xr:uid="{E68ED16D-846D-4823-90F5-6199ED10AB9C}"/>
    <cellStyle name="40% - Accent3 11" xfId="2754" xr:uid="{8C4418F2-1237-4C1E-A81A-48BA78738004}"/>
    <cellStyle name="40% - Accent3 12" xfId="1925" xr:uid="{771B91BD-80D2-40DD-A660-BB02A38C7167}"/>
    <cellStyle name="40% - Accent3 13" xfId="1096" xr:uid="{6208C112-B9A5-4863-815A-FC31D9C966EE}"/>
    <cellStyle name="40% - Accent3 2" xfId="66" xr:uid="{00000000-0005-0000-0000-000081000000}"/>
    <cellStyle name="40% - Accent3 2 10" xfId="2755" xr:uid="{FC9AFC5D-30BA-4653-BA7E-34AC8501897E}"/>
    <cellStyle name="40% - Accent3 2 11" xfId="1926" xr:uid="{72346F67-EAD6-4B36-811C-84D88F35D9FB}"/>
    <cellStyle name="40% - Accent3 2 12" xfId="1097" xr:uid="{1F2D3C44-018B-4671-B606-A2E44162E482}"/>
    <cellStyle name="40% - Accent3 2 2" xfId="67" xr:uid="{00000000-0005-0000-0000-000082000000}"/>
    <cellStyle name="40% - Accent3 2 2 10" xfId="1927" xr:uid="{55D51EEC-0A64-4711-81A2-431CB8966304}"/>
    <cellStyle name="40% - Accent3 2 2 11" xfId="1098" xr:uid="{42501EA1-C98B-4706-A489-7B1B7F98C125}"/>
    <cellStyle name="40% - Accent3 2 2 2" xfId="68" xr:uid="{00000000-0005-0000-0000-000083000000}"/>
    <cellStyle name="40% - Accent3 2 2 2 10" xfId="1099" xr:uid="{A1ABB073-4363-4476-B291-F624C5E7280C}"/>
    <cellStyle name="40% - Accent3 2 2 2 2" xfId="645" xr:uid="{00000000-0005-0000-0000-000084000000}"/>
    <cellStyle name="40% - Accent3 2 2 2 2 2" xfId="5402" xr:uid="{58F66626-F9F9-4A13-A468-AAC513D2CEC2}"/>
    <cellStyle name="40% - Accent3 2 2 2 2 2 2" xfId="9620" xr:uid="{61038A13-1065-464C-AF05-0F50CCCC14E8}"/>
    <cellStyle name="40% - Accent3 2 2 2 2 3" xfId="7475" xr:uid="{82CC2303-B0DD-404B-858F-B4D4D1A18960}"/>
    <cellStyle name="40% - Accent3 2 2 2 2 4" xfId="3171" xr:uid="{19352C9F-AFD9-4BB5-B6F7-480236AEA226}"/>
    <cellStyle name="40% - Accent3 2 2 2 2 5" xfId="2344" xr:uid="{68F114D1-D22A-48C0-86F7-9803120201DA}"/>
    <cellStyle name="40% - Accent3 2 2 2 2 6" xfId="1515" xr:uid="{70842195-2C55-4DCB-B7EE-3F2682F53F93}"/>
    <cellStyle name="40% - Accent3 2 2 2 3" xfId="3586" xr:uid="{E94ECDA5-8A30-4E0B-BCD6-761E121C3A2E}"/>
    <cellStyle name="40% - Accent3 2 2 2 3 2" xfId="5815" xr:uid="{F606BE1A-5179-4B0E-AEBD-2A028CD9E9FE}"/>
    <cellStyle name="40% - Accent3 2 2 2 3 2 2" xfId="10033" xr:uid="{3FE93EEC-A67B-4D35-A111-32946223561C}"/>
    <cellStyle name="40% - Accent3 2 2 2 3 3" xfId="7888" xr:uid="{598E0B5F-A700-4B3E-9A0A-C9E57F84054A}"/>
    <cellStyle name="40% - Accent3 2 2 2 4" xfId="3999" xr:uid="{5893B614-ACCE-4455-A21C-F9FFB8484388}"/>
    <cellStyle name="40% - Accent3 2 2 2 4 2" xfId="6228" xr:uid="{0D5EC705-BD05-4520-B921-2DBCF02DA7FB}"/>
    <cellStyle name="40% - Accent3 2 2 2 4 2 2" xfId="10446" xr:uid="{CD89B260-E642-4BE7-8BAF-4B95C790D145}"/>
    <cellStyle name="40% - Accent3 2 2 2 4 3" xfId="8301" xr:uid="{36A5FB98-0020-4DA0-BCE8-DC4172EB3557}"/>
    <cellStyle name="40% - Accent3 2 2 2 5" xfId="4412" xr:uid="{3A14AEA6-9A6E-495E-8A0C-9F11FD20C7A0}"/>
    <cellStyle name="40% - Accent3 2 2 2 5 2" xfId="6641" xr:uid="{FDA429C1-7348-4048-B2CC-805C280CA15D}"/>
    <cellStyle name="40% - Accent3 2 2 2 5 2 2" xfId="10859" xr:uid="{5D86187A-4A2C-483F-B53E-49DC5E814823}"/>
    <cellStyle name="40% - Accent3 2 2 2 5 3" xfId="8714" xr:uid="{F51EEFA9-3759-482E-BBE7-19484066C736}"/>
    <cellStyle name="40% - Accent3 2 2 2 6" xfId="4825" xr:uid="{5BECF5D3-7C5B-4B61-96B3-59766DA98E08}"/>
    <cellStyle name="40% - Accent3 2 2 2 6 2" xfId="9127" xr:uid="{DE3D2752-F443-4DBE-A842-25FE4E53BEAD}"/>
    <cellStyle name="40% - Accent3 2 2 2 7" xfId="7061" xr:uid="{7E05E786-D6EB-4175-B0A9-9035169513F3}"/>
    <cellStyle name="40% - Accent3 2 2 2 8" xfId="2757" xr:uid="{70417FA9-0B52-4E7D-A0F8-40C202754C51}"/>
    <cellStyle name="40% - Accent3 2 2 2 9" xfId="1928" xr:uid="{15A5CFB0-056A-47D3-9069-F74817A3ADE5}"/>
    <cellStyle name="40% - Accent3 2 2 3" xfId="644" xr:uid="{00000000-0005-0000-0000-000085000000}"/>
    <cellStyle name="40% - Accent3 2 2 3 2" xfId="5401" xr:uid="{5512E513-3668-42B2-9981-601E7AF1709D}"/>
    <cellStyle name="40% - Accent3 2 2 3 2 2" xfId="9619" xr:uid="{F743C84F-222C-46CA-B7CB-92C07A3AFAC2}"/>
    <cellStyle name="40% - Accent3 2 2 3 3" xfId="7474" xr:uid="{02345956-A41E-48A8-B9DE-03D89C719FA8}"/>
    <cellStyle name="40% - Accent3 2 2 3 4" xfId="3170" xr:uid="{AF34461D-46CA-4D15-8319-8D469187F0D2}"/>
    <cellStyle name="40% - Accent3 2 2 3 5" xfId="2343" xr:uid="{3C429C90-75D8-496E-BC77-59508C0B872E}"/>
    <cellStyle name="40% - Accent3 2 2 3 6" xfId="1514" xr:uid="{8E5044C8-0349-49D9-8A75-6D18F93CE9FD}"/>
    <cellStyle name="40% - Accent3 2 2 4" xfId="3585" xr:uid="{FBB7BA38-7D57-412C-9407-9864BB8A68F0}"/>
    <cellStyle name="40% - Accent3 2 2 4 2" xfId="5814" xr:uid="{F683B171-DBC7-4358-8BE0-2F9DB2ECA7A9}"/>
    <cellStyle name="40% - Accent3 2 2 4 2 2" xfId="10032" xr:uid="{6ABFB615-5DBA-4DB5-9A2E-6AA14D2B31A3}"/>
    <cellStyle name="40% - Accent3 2 2 4 3" xfId="7887" xr:uid="{1C614957-E135-40AD-A3E1-4762AC2A0A10}"/>
    <cellStyle name="40% - Accent3 2 2 5" xfId="3998" xr:uid="{37EFA5C1-903D-4738-81A5-A5C7F538F202}"/>
    <cellStyle name="40% - Accent3 2 2 5 2" xfId="6227" xr:uid="{9FE155DB-C0BF-4D5B-8D18-8ECD9B7934FE}"/>
    <cellStyle name="40% - Accent3 2 2 5 2 2" xfId="10445" xr:uid="{F34A94FD-467E-4E99-8555-92F11C6A1A0E}"/>
    <cellStyle name="40% - Accent3 2 2 5 3" xfId="8300" xr:uid="{9A8805E2-65F0-4EAE-A5F2-F237A09D4B34}"/>
    <cellStyle name="40% - Accent3 2 2 6" xfId="4411" xr:uid="{9E4C61EE-0B4D-48CF-BDE5-853826DD4E81}"/>
    <cellStyle name="40% - Accent3 2 2 6 2" xfId="6640" xr:uid="{D5A42BD4-439A-4730-A27E-48788B9347FC}"/>
    <cellStyle name="40% - Accent3 2 2 6 2 2" xfId="10858" xr:uid="{8B340F5C-E956-4ABC-9531-62B8AC6A30C4}"/>
    <cellStyle name="40% - Accent3 2 2 6 3" xfId="8713" xr:uid="{027BC142-1CE1-4733-8B3D-8C16FE4570F1}"/>
    <cellStyle name="40% - Accent3 2 2 7" xfId="4824" xr:uid="{22F1C119-9A88-46C9-895A-8C0949850DEB}"/>
    <cellStyle name="40% - Accent3 2 2 7 2" xfId="9126" xr:uid="{F709BA9E-9778-42DE-AA34-B551C4BE815E}"/>
    <cellStyle name="40% - Accent3 2 2 8" xfId="7060" xr:uid="{BEEF985F-F302-48C3-8F1B-D19F11D95B26}"/>
    <cellStyle name="40% - Accent3 2 2 9" xfId="2756" xr:uid="{8955BB12-B0D1-4F37-B802-EBAEA1171945}"/>
    <cellStyle name="40% - Accent3 2 3" xfId="69" xr:uid="{00000000-0005-0000-0000-000086000000}"/>
    <cellStyle name="40% - Accent3 2 3 10" xfId="1100" xr:uid="{15D0AADC-DB98-4292-9A39-64776FDA7F30}"/>
    <cellStyle name="40% - Accent3 2 3 2" xfId="646" xr:uid="{00000000-0005-0000-0000-000087000000}"/>
    <cellStyle name="40% - Accent3 2 3 2 2" xfId="5403" xr:uid="{69C76700-D7E0-4D36-B21E-E2550CC6B56F}"/>
    <cellStyle name="40% - Accent3 2 3 2 2 2" xfId="9621" xr:uid="{6E57352C-4644-4575-B0D5-A3E0DA3CF1FF}"/>
    <cellStyle name="40% - Accent3 2 3 2 3" xfId="7476" xr:uid="{933607AF-2B02-4247-8235-82CD200B2793}"/>
    <cellStyle name="40% - Accent3 2 3 2 4" xfId="3172" xr:uid="{EC61C3D8-B80F-41FA-897C-A6E1D04FA5EE}"/>
    <cellStyle name="40% - Accent3 2 3 2 5" xfId="2345" xr:uid="{FC387167-4C94-4CA9-97E4-7015E7173390}"/>
    <cellStyle name="40% - Accent3 2 3 2 6" xfId="1516" xr:uid="{77A8CC4F-5873-400C-908D-1D086D0C42FE}"/>
    <cellStyle name="40% - Accent3 2 3 3" xfId="3587" xr:uid="{98891DBF-9ADE-47DF-BFEC-0842D890E7A5}"/>
    <cellStyle name="40% - Accent3 2 3 3 2" xfId="5816" xr:uid="{E65D09CC-3482-4C98-929A-EE99F9BADF1B}"/>
    <cellStyle name="40% - Accent3 2 3 3 2 2" xfId="10034" xr:uid="{50749C70-C65F-4597-B06F-424E7A98F6F7}"/>
    <cellStyle name="40% - Accent3 2 3 3 3" xfId="7889" xr:uid="{6838B223-90EC-4909-B9B4-DA6932CBB632}"/>
    <cellStyle name="40% - Accent3 2 3 4" xfId="4000" xr:uid="{C58D50BB-401A-4CC8-BF15-CFDA3114BBD8}"/>
    <cellStyle name="40% - Accent3 2 3 4 2" xfId="6229" xr:uid="{4B7B11D7-4C02-4EA2-ACFE-EA97DAB1D9D6}"/>
    <cellStyle name="40% - Accent3 2 3 4 2 2" xfId="10447" xr:uid="{E753836F-2B24-4954-9D66-01D1EA357B31}"/>
    <cellStyle name="40% - Accent3 2 3 4 3" xfId="8302" xr:uid="{3FFBE001-2A2F-4126-BFE1-835CEC0C2183}"/>
    <cellStyle name="40% - Accent3 2 3 5" xfId="4413" xr:uid="{8D6512AB-24CB-477A-8EB0-EDAC2193850A}"/>
    <cellStyle name="40% - Accent3 2 3 5 2" xfId="6642" xr:uid="{EB2E779F-DB59-48E7-ABD4-FB2B1FD0F363}"/>
    <cellStyle name="40% - Accent3 2 3 5 2 2" xfId="10860" xr:uid="{AC8BDA8D-530A-4B61-A160-B4947BD5EC65}"/>
    <cellStyle name="40% - Accent3 2 3 5 3" xfId="8715" xr:uid="{63F89ECC-150B-43EC-8A9E-9673ABFF62E5}"/>
    <cellStyle name="40% - Accent3 2 3 6" xfId="4826" xr:uid="{E46962EC-7A39-45B1-B476-DDC2F2CA2D50}"/>
    <cellStyle name="40% - Accent3 2 3 6 2" xfId="9128" xr:uid="{E9EB5693-7FD3-4FB8-ABC7-6F16D718DDFA}"/>
    <cellStyle name="40% - Accent3 2 3 7" xfId="7062" xr:uid="{487F4411-195D-4858-B02B-704233B7A1D5}"/>
    <cellStyle name="40% - Accent3 2 3 8" xfId="2758" xr:uid="{F8FC01FA-87A5-4538-95BA-32181D434A2C}"/>
    <cellStyle name="40% - Accent3 2 3 9" xfId="1929" xr:uid="{043F1EB2-D08D-466B-B51F-441F9FE960DA}"/>
    <cellStyle name="40% - Accent3 2 4" xfId="643" xr:uid="{00000000-0005-0000-0000-000088000000}"/>
    <cellStyle name="40% - Accent3 2 4 2" xfId="5400" xr:uid="{12700AC2-657D-4493-A58B-9D1803EE2B5A}"/>
    <cellStyle name="40% - Accent3 2 4 2 2" xfId="9618" xr:uid="{3FAA8C22-7D35-4302-8D66-E7F1BA7BBA1D}"/>
    <cellStyle name="40% - Accent3 2 4 3" xfId="7473" xr:uid="{0E163807-A1D5-45A0-B60A-22269EADE4D4}"/>
    <cellStyle name="40% - Accent3 2 4 4" xfId="3169" xr:uid="{3E98CC91-9036-498F-9EBA-E26DCA87FE7E}"/>
    <cellStyle name="40% - Accent3 2 4 5" xfId="2342" xr:uid="{6F1AA1B3-540E-4746-904C-CAFDA06BA152}"/>
    <cellStyle name="40% - Accent3 2 4 6" xfId="1513" xr:uid="{B97621D3-7324-4156-9BD4-B53C8303B486}"/>
    <cellStyle name="40% - Accent3 2 5" xfId="3584" xr:uid="{3A9CF26D-D7AA-45A9-A2EC-4391A7F42C76}"/>
    <cellStyle name="40% - Accent3 2 5 2" xfId="5813" xr:uid="{C2764F7E-6638-4D1B-9509-740305F6F9DA}"/>
    <cellStyle name="40% - Accent3 2 5 2 2" xfId="10031" xr:uid="{CC84D653-87F2-43BA-85B6-74A7296B69E9}"/>
    <cellStyle name="40% - Accent3 2 5 3" xfId="7886" xr:uid="{4AB4D201-B314-48D0-96D2-37CDA3CE7741}"/>
    <cellStyle name="40% - Accent3 2 6" xfId="3997" xr:uid="{B75E831D-A5D1-4BD5-9A39-0E5CFCDC149F}"/>
    <cellStyle name="40% - Accent3 2 6 2" xfId="6226" xr:uid="{0A90A2E3-0F25-474E-AB81-06704F47B48D}"/>
    <cellStyle name="40% - Accent3 2 6 2 2" xfId="10444" xr:uid="{FEEE8E2B-6C7F-41CE-8704-8A20C27AF6F7}"/>
    <cellStyle name="40% - Accent3 2 6 3" xfId="8299" xr:uid="{245B5798-1357-460C-95C2-6650AD7CB43B}"/>
    <cellStyle name="40% - Accent3 2 7" xfId="4410" xr:uid="{3599F6A9-39B8-42F5-9691-B92F1FF10283}"/>
    <cellStyle name="40% - Accent3 2 7 2" xfId="6639" xr:uid="{3BD2CF90-5176-4C90-9D65-921F23BBE248}"/>
    <cellStyle name="40% - Accent3 2 7 2 2" xfId="10857" xr:uid="{7E60994E-7FDA-4717-B7CB-20BF617B4666}"/>
    <cellStyle name="40% - Accent3 2 7 3" xfId="8712" xr:uid="{FF1A4138-409C-4EE0-B47B-102D0542F35D}"/>
    <cellStyle name="40% - Accent3 2 8" xfId="4823" xr:uid="{471BE94B-318C-472E-8353-D5E08A93B89E}"/>
    <cellStyle name="40% - Accent3 2 8 2" xfId="9125" xr:uid="{0D2C18F0-4F4D-4304-BFD7-2CE3F1D00BFB}"/>
    <cellStyle name="40% - Accent3 2 9" xfId="7059" xr:uid="{8EBD2233-A4A7-421E-B9C1-8632C4FB996D}"/>
    <cellStyle name="40% - Accent3 3" xfId="70" xr:uid="{00000000-0005-0000-0000-000089000000}"/>
    <cellStyle name="40% - Accent3 3 10" xfId="1930" xr:uid="{3C38CFE0-8296-4F2E-B8CF-FD61447C8E80}"/>
    <cellStyle name="40% - Accent3 3 11" xfId="1101" xr:uid="{9ABF3EDA-940B-4C94-A963-BCEA8042495B}"/>
    <cellStyle name="40% - Accent3 3 2" xfId="71" xr:uid="{00000000-0005-0000-0000-00008A000000}"/>
    <cellStyle name="40% - Accent3 3 2 10" xfId="1102" xr:uid="{F8663BDC-F214-4881-B2A9-E4D43E37969F}"/>
    <cellStyle name="40% - Accent3 3 2 2" xfId="648" xr:uid="{00000000-0005-0000-0000-00008B000000}"/>
    <cellStyle name="40% - Accent3 3 2 2 2" xfId="5405" xr:uid="{AA09FE25-3F6F-4560-B08E-578EFB3DE6B4}"/>
    <cellStyle name="40% - Accent3 3 2 2 2 2" xfId="9623" xr:uid="{8EA67100-DEED-4982-BB26-D9B5146F0F0E}"/>
    <cellStyle name="40% - Accent3 3 2 2 3" xfId="7478" xr:uid="{7EBED937-FB4B-470F-A511-759D22301000}"/>
    <cellStyle name="40% - Accent3 3 2 2 4" xfId="3174" xr:uid="{5E57FD7C-D6C1-448D-B826-AED600C3D22E}"/>
    <cellStyle name="40% - Accent3 3 2 2 5" xfId="2347" xr:uid="{650CA397-1685-4B8D-84BB-FDF8ED32B1FE}"/>
    <cellStyle name="40% - Accent3 3 2 2 6" xfId="1518" xr:uid="{8E8BD225-CFDE-4025-9348-DC58A1BB156A}"/>
    <cellStyle name="40% - Accent3 3 2 3" xfId="3589" xr:uid="{3714ADDF-9E7B-4DAD-A213-03344CBCD716}"/>
    <cellStyle name="40% - Accent3 3 2 3 2" xfId="5818" xr:uid="{45296C04-4D8B-4421-865A-E308F68556FB}"/>
    <cellStyle name="40% - Accent3 3 2 3 2 2" xfId="10036" xr:uid="{FF12CCAA-EE58-42A5-9E51-24C78848C5B5}"/>
    <cellStyle name="40% - Accent3 3 2 3 3" xfId="7891" xr:uid="{BE01355A-E359-4DF2-94D7-F4B003521CA1}"/>
    <cellStyle name="40% - Accent3 3 2 4" xfId="4002" xr:uid="{AE3EC906-739B-4B13-8955-40ABCA439E73}"/>
    <cellStyle name="40% - Accent3 3 2 4 2" xfId="6231" xr:uid="{E068983D-0EF1-4759-A7C3-B3BDE8BDA234}"/>
    <cellStyle name="40% - Accent3 3 2 4 2 2" xfId="10449" xr:uid="{CEC334DB-92DC-4D4E-9AC9-ED6C812F98E9}"/>
    <cellStyle name="40% - Accent3 3 2 4 3" xfId="8304" xr:uid="{FBF35E62-AA9F-4004-8111-44EFD8F58191}"/>
    <cellStyle name="40% - Accent3 3 2 5" xfId="4415" xr:uid="{8DA88E07-2ED1-45FC-A4D8-D691AEF5D603}"/>
    <cellStyle name="40% - Accent3 3 2 5 2" xfId="6644" xr:uid="{B368D835-744A-475C-B03A-0410456F489E}"/>
    <cellStyle name="40% - Accent3 3 2 5 2 2" xfId="10862" xr:uid="{B926AEAC-64B8-4AF7-BEEB-45020D732561}"/>
    <cellStyle name="40% - Accent3 3 2 5 3" xfId="8717" xr:uid="{BE4959D7-181D-4E5F-B1EE-6CAD4901E278}"/>
    <cellStyle name="40% - Accent3 3 2 6" xfId="4828" xr:uid="{CBECFE22-A547-4487-8C9F-6BB231297721}"/>
    <cellStyle name="40% - Accent3 3 2 6 2" xfId="9130" xr:uid="{F34188EF-5092-44DB-9059-ACDA6CAFFFCF}"/>
    <cellStyle name="40% - Accent3 3 2 7" xfId="7064" xr:uid="{A5F4FAED-D5B1-4F5A-B231-3BD8C0B93619}"/>
    <cellStyle name="40% - Accent3 3 2 8" xfId="2760" xr:uid="{2CE10F0F-ED96-41DF-932C-9289A56E4A01}"/>
    <cellStyle name="40% - Accent3 3 2 9" xfId="1931" xr:uid="{A6F92280-CA3A-4E4B-9589-1A749F1CB804}"/>
    <cellStyle name="40% - Accent3 3 3" xfId="647" xr:uid="{00000000-0005-0000-0000-00008C000000}"/>
    <cellStyle name="40% - Accent3 3 3 2" xfId="5404" xr:uid="{D352EAAF-F951-4F04-8B24-F41D469ABAAC}"/>
    <cellStyle name="40% - Accent3 3 3 2 2" xfId="9622" xr:uid="{3056A1C2-EB1F-4AB5-94B9-0012B090AE0D}"/>
    <cellStyle name="40% - Accent3 3 3 3" xfId="7477" xr:uid="{2D9041FF-C6A7-48F3-B820-B054B1FCAFA5}"/>
    <cellStyle name="40% - Accent3 3 3 4" xfId="3173" xr:uid="{231C86DE-2CB0-48D2-B547-7A20679256D7}"/>
    <cellStyle name="40% - Accent3 3 3 5" xfId="2346" xr:uid="{32A6E5CA-90CC-4B15-98CD-54420F7A3F6C}"/>
    <cellStyle name="40% - Accent3 3 3 6" xfId="1517" xr:uid="{C903F4FC-CD6A-49DA-843B-EC81FFAF0A01}"/>
    <cellStyle name="40% - Accent3 3 4" xfId="3588" xr:uid="{E0C108D4-1126-418A-86E2-4D482ACD3E05}"/>
    <cellStyle name="40% - Accent3 3 4 2" xfId="5817" xr:uid="{2D354C5E-B81E-4935-A8D0-7CAD435CF7D7}"/>
    <cellStyle name="40% - Accent3 3 4 2 2" xfId="10035" xr:uid="{15EB7D26-8A29-475F-BB91-15A24C4DE30E}"/>
    <cellStyle name="40% - Accent3 3 4 3" xfId="7890" xr:uid="{BD691DF9-265F-4C28-A201-F3410BDD01B4}"/>
    <cellStyle name="40% - Accent3 3 5" xfId="4001" xr:uid="{4CEA1675-180D-45A8-B4CB-F18203817ACE}"/>
    <cellStyle name="40% - Accent3 3 5 2" xfId="6230" xr:uid="{D589DE87-602A-488F-B3BF-93BA1A3200FB}"/>
    <cellStyle name="40% - Accent3 3 5 2 2" xfId="10448" xr:uid="{64405174-53F7-4B59-9A43-7BBD8DE9773C}"/>
    <cellStyle name="40% - Accent3 3 5 3" xfId="8303" xr:uid="{606F5E55-4053-4490-BFBA-9CB088E4D446}"/>
    <cellStyle name="40% - Accent3 3 6" xfId="4414" xr:uid="{47367D16-9671-4D6A-9ADD-F00511E6B380}"/>
    <cellStyle name="40% - Accent3 3 6 2" xfId="6643" xr:uid="{1A19D908-C1A1-416A-A886-AD7BF242BF96}"/>
    <cellStyle name="40% - Accent3 3 6 2 2" xfId="10861" xr:uid="{D2B86D2C-8953-4655-AED6-2CF447466FBC}"/>
    <cellStyle name="40% - Accent3 3 6 3" xfId="8716" xr:uid="{3203602A-D0A9-42BD-AB4D-9AF5F54D8B8F}"/>
    <cellStyle name="40% - Accent3 3 7" xfId="4827" xr:uid="{1BDACC86-BBFC-4360-8DC8-2C9A9C912C68}"/>
    <cellStyle name="40% - Accent3 3 7 2" xfId="9129" xr:uid="{058E5AFA-A361-4AD0-B873-D0DCF346E4B3}"/>
    <cellStyle name="40% - Accent3 3 8" xfId="7063" xr:uid="{6D317E57-FE27-4637-BCF3-F197F71342D5}"/>
    <cellStyle name="40% - Accent3 3 9" xfId="2759" xr:uid="{1D467681-D576-44B0-9D57-6F4C12963D0F}"/>
    <cellStyle name="40% - Accent3 4" xfId="72" xr:uid="{00000000-0005-0000-0000-00008D000000}"/>
    <cellStyle name="40% - Accent3 4 10" xfId="1103" xr:uid="{9114022E-F98E-469F-AD29-E716996E28D7}"/>
    <cellStyle name="40% - Accent3 4 2" xfId="649" xr:uid="{00000000-0005-0000-0000-00008E000000}"/>
    <cellStyle name="40% - Accent3 4 2 2" xfId="5406" xr:uid="{F670BCCB-5899-4AA0-88AE-480C66A8F5E8}"/>
    <cellStyle name="40% - Accent3 4 2 2 2" xfId="9624" xr:uid="{D26B34ED-A938-45DF-BEC6-6C29DA6321FC}"/>
    <cellStyle name="40% - Accent3 4 2 3" xfId="7479" xr:uid="{54C4CC5A-8B51-4231-9412-376B52CF5451}"/>
    <cellStyle name="40% - Accent3 4 2 4" xfId="3175" xr:uid="{1DAE78EA-CC63-4451-8C87-A3C00FD9E7B2}"/>
    <cellStyle name="40% - Accent3 4 2 5" xfId="2348" xr:uid="{99E9FE74-6AF8-44C5-AFBA-83B95EFB07CC}"/>
    <cellStyle name="40% - Accent3 4 2 6" xfId="1519" xr:uid="{EC6CB3D2-9628-4B34-9073-747BCF76A8C2}"/>
    <cellStyle name="40% - Accent3 4 3" xfId="3590" xr:uid="{44DE28D0-CA9F-4691-B9A2-090DEBAC9E99}"/>
    <cellStyle name="40% - Accent3 4 3 2" xfId="5819" xr:uid="{618D3EAA-4CEF-4E90-9E16-84E8800706CC}"/>
    <cellStyle name="40% - Accent3 4 3 2 2" xfId="10037" xr:uid="{94092536-217F-4631-B1CE-9E982054938C}"/>
    <cellStyle name="40% - Accent3 4 3 3" xfId="7892" xr:uid="{2D4C2A29-D97B-4786-A46B-99A56ACDECB4}"/>
    <cellStyle name="40% - Accent3 4 4" xfId="4003" xr:uid="{56C2D777-6D07-4028-88B5-BCC19CCDCFE5}"/>
    <cellStyle name="40% - Accent3 4 4 2" xfId="6232" xr:uid="{7C45AC26-5350-4393-B89B-66A7415AFB8D}"/>
    <cellStyle name="40% - Accent3 4 4 2 2" xfId="10450" xr:uid="{C7F817DB-9D23-406E-8EBA-FF3FB0E10BF0}"/>
    <cellStyle name="40% - Accent3 4 4 3" xfId="8305" xr:uid="{0E244E30-C82D-47B4-BC60-5404CFB9BE6E}"/>
    <cellStyle name="40% - Accent3 4 5" xfId="4416" xr:uid="{259AB877-2108-412F-85CB-62ECC19E65D6}"/>
    <cellStyle name="40% - Accent3 4 5 2" xfId="6645" xr:uid="{18BDEB4D-6CD0-4C83-9209-9C2E24640901}"/>
    <cellStyle name="40% - Accent3 4 5 2 2" xfId="10863" xr:uid="{37A22E44-3081-470D-ABAD-B9187A068CA9}"/>
    <cellStyle name="40% - Accent3 4 5 3" xfId="8718" xr:uid="{594C7523-7A40-4FA0-AF1D-F02932DD82D3}"/>
    <cellStyle name="40% - Accent3 4 6" xfId="4829" xr:uid="{46DD219E-4F92-4077-B225-431C24F028C3}"/>
    <cellStyle name="40% - Accent3 4 6 2" xfId="9131" xr:uid="{D3804553-AA98-4CF1-9C56-333A26F11F60}"/>
    <cellStyle name="40% - Accent3 4 7" xfId="7065" xr:uid="{68B7E3D7-F204-4C48-A13E-806F8901AFD9}"/>
    <cellStyle name="40% - Accent3 4 8" xfId="2761" xr:uid="{BDDEA425-2BCE-4E8E-A308-8831D8ADC304}"/>
    <cellStyle name="40% - Accent3 4 9" xfId="1932" xr:uid="{8CB907BB-3D40-44DA-92BF-9B744305B306}"/>
    <cellStyle name="40% - Accent3 5" xfId="642" xr:uid="{00000000-0005-0000-0000-00008F000000}"/>
    <cellStyle name="40% - Accent3 5 2" xfId="5399" xr:uid="{0E11642C-B7E5-4AAC-AEBD-19DE1924A09B}"/>
    <cellStyle name="40% - Accent3 5 2 2" xfId="9617" xr:uid="{F99DA1DA-3E4C-4013-9B15-1F5193262771}"/>
    <cellStyle name="40% - Accent3 5 3" xfId="7472" xr:uid="{EB30CDDF-01D9-40CD-AED0-C9FED0AC24E4}"/>
    <cellStyle name="40% - Accent3 5 4" xfId="3168" xr:uid="{9CC4FDDB-9E56-4125-9F75-69D54A88F308}"/>
    <cellStyle name="40% - Accent3 5 5" xfId="2341" xr:uid="{0D64DA44-C3B0-43A4-8CBA-08492476C079}"/>
    <cellStyle name="40% - Accent3 5 6" xfId="1512" xr:uid="{AC188F3B-C3F0-4C29-AEB9-62C79DA722D4}"/>
    <cellStyle name="40% - Accent3 6" xfId="3583" xr:uid="{74BF11DD-D9B2-44B5-AB03-4719EB6005F2}"/>
    <cellStyle name="40% - Accent3 6 2" xfId="5812" xr:uid="{6A6F3379-9D94-47EF-ACFF-00A95C451A7B}"/>
    <cellStyle name="40% - Accent3 6 2 2" xfId="10030" xr:uid="{56466A0D-D330-4DA2-B9DA-98333E856460}"/>
    <cellStyle name="40% - Accent3 6 3" xfId="7885" xr:uid="{C8EE0CF6-444A-4B1B-8848-A9C4B59B05A3}"/>
    <cellStyle name="40% - Accent3 7" xfId="3996" xr:uid="{EC600ABB-9AD2-47DF-9906-7CC309D3FAD2}"/>
    <cellStyle name="40% - Accent3 7 2" xfId="6225" xr:uid="{37FE36C8-303D-4E88-BBFE-2F5537DC3F52}"/>
    <cellStyle name="40% - Accent3 7 2 2" xfId="10443" xr:uid="{F989CACE-65A6-4789-B288-AA52F6D04D7B}"/>
    <cellStyle name="40% - Accent3 7 3" xfId="8298" xr:uid="{1603499E-3859-4BE5-A9FB-68FE7A3B5D43}"/>
    <cellStyle name="40% - Accent3 8" xfId="4409" xr:uid="{CBDD79CB-81EC-44BE-B8C0-CF53D2D4A2CD}"/>
    <cellStyle name="40% - Accent3 8 2" xfId="6638" xr:uid="{C88E9746-A83C-41C7-BC65-3ECA2C1C6C6A}"/>
    <cellStyle name="40% - Accent3 8 2 2" xfId="10856" xr:uid="{69966647-F5B0-45EF-AF1E-53DACAEBA2F8}"/>
    <cellStyle name="40% - Accent3 8 3" xfId="8711" xr:uid="{2BC76EE8-E7D7-4255-8C31-B26E9A8987B2}"/>
    <cellStyle name="40% - Accent3 9" xfId="4822" xr:uid="{091076E1-2358-4BA0-844F-D4AF77995BE3}"/>
    <cellStyle name="40% - Accent3 9 2" xfId="9124" xr:uid="{407E4C28-E719-450D-8D92-DF2C18122489}"/>
    <cellStyle name="40% - Accent4" xfId="73" builtinId="43" customBuiltin="1"/>
    <cellStyle name="40% - Accent4 10" xfId="7066" xr:uid="{0587C3F8-364E-4752-BD74-F116DCEB4D95}"/>
    <cellStyle name="40% - Accent4 11" xfId="2762" xr:uid="{E983B151-8B2B-4082-8BF0-06E8CE7BDE2C}"/>
    <cellStyle name="40% - Accent4 12" xfId="1933" xr:uid="{70DEA956-98DA-44DD-965F-549086535404}"/>
    <cellStyle name="40% - Accent4 13" xfId="1104" xr:uid="{92BB033A-780D-4C1E-9959-D804F89A156D}"/>
    <cellStyle name="40% - Accent4 2" xfId="74" xr:uid="{00000000-0005-0000-0000-000091000000}"/>
    <cellStyle name="40% - Accent4 2 10" xfId="2763" xr:uid="{336BA522-D4A1-49DF-862E-F4C46749E3BE}"/>
    <cellStyle name="40% - Accent4 2 11" xfId="1934" xr:uid="{DAFBA494-EB1C-4BB7-9C9F-7C12BDB3B200}"/>
    <cellStyle name="40% - Accent4 2 12" xfId="1105" xr:uid="{6AFF7617-565C-45CA-A126-3D155E6CFE76}"/>
    <cellStyle name="40% - Accent4 2 2" xfId="75" xr:uid="{00000000-0005-0000-0000-000092000000}"/>
    <cellStyle name="40% - Accent4 2 2 10" xfId="1935" xr:uid="{CA029E9C-DBA6-4A8B-A197-FC3D5C9A5697}"/>
    <cellStyle name="40% - Accent4 2 2 11" xfId="1106" xr:uid="{64ADAD42-E938-4109-B345-B861CD117291}"/>
    <cellStyle name="40% - Accent4 2 2 2" xfId="76" xr:uid="{00000000-0005-0000-0000-000093000000}"/>
    <cellStyle name="40% - Accent4 2 2 2 10" xfId="1107" xr:uid="{666D830F-CBDF-4422-82D6-1AA8D3671EB8}"/>
    <cellStyle name="40% - Accent4 2 2 2 2" xfId="653" xr:uid="{00000000-0005-0000-0000-000094000000}"/>
    <cellStyle name="40% - Accent4 2 2 2 2 2" xfId="5410" xr:uid="{08EC0A04-995F-4CF5-BC8C-3F9382D1505B}"/>
    <cellStyle name="40% - Accent4 2 2 2 2 2 2" xfId="9628" xr:uid="{B4682C50-5521-4316-9577-73D205BC3813}"/>
    <cellStyle name="40% - Accent4 2 2 2 2 3" xfId="7483" xr:uid="{FEDF7058-2784-418B-AB55-4E1C62FC8CD4}"/>
    <cellStyle name="40% - Accent4 2 2 2 2 4" xfId="3179" xr:uid="{0ED0C611-834B-4577-B94E-BEA13863358D}"/>
    <cellStyle name="40% - Accent4 2 2 2 2 5" xfId="2352" xr:uid="{E92EC1DC-F221-4153-8FF9-959140BA39DA}"/>
    <cellStyle name="40% - Accent4 2 2 2 2 6" xfId="1523" xr:uid="{BE442F94-AE90-48F4-8FAC-2B1D741B8883}"/>
    <cellStyle name="40% - Accent4 2 2 2 3" xfId="3594" xr:uid="{D9FA7328-9D54-4D04-9151-EA3F352D0A95}"/>
    <cellStyle name="40% - Accent4 2 2 2 3 2" xfId="5823" xr:uid="{70E5674F-C395-4D32-B682-CC0A16FE1D5D}"/>
    <cellStyle name="40% - Accent4 2 2 2 3 2 2" xfId="10041" xr:uid="{192D87B5-91A3-442E-8D67-58E2C9F6D4E2}"/>
    <cellStyle name="40% - Accent4 2 2 2 3 3" xfId="7896" xr:uid="{2C3805A8-2019-48A7-9857-F6882D1FDB07}"/>
    <cellStyle name="40% - Accent4 2 2 2 4" xfId="4007" xr:uid="{D7EB3685-2610-4624-BB84-26A07740F382}"/>
    <cellStyle name="40% - Accent4 2 2 2 4 2" xfId="6236" xr:uid="{EDCC92EA-0541-41D4-BA30-B1DD5020751D}"/>
    <cellStyle name="40% - Accent4 2 2 2 4 2 2" xfId="10454" xr:uid="{746682AD-BE2B-4C94-899A-86A7B50EEF24}"/>
    <cellStyle name="40% - Accent4 2 2 2 4 3" xfId="8309" xr:uid="{FF8BB740-AAB6-48C0-859B-957645C23C4B}"/>
    <cellStyle name="40% - Accent4 2 2 2 5" xfId="4420" xr:uid="{97A30113-C9EE-4FC5-9CF3-2B7BE5AB47A8}"/>
    <cellStyle name="40% - Accent4 2 2 2 5 2" xfId="6649" xr:uid="{5CDE610F-B81B-4C4F-B13D-51DD049D9C9D}"/>
    <cellStyle name="40% - Accent4 2 2 2 5 2 2" xfId="10867" xr:uid="{4EFE1E9E-911B-4906-82F5-D19004929BC0}"/>
    <cellStyle name="40% - Accent4 2 2 2 5 3" xfId="8722" xr:uid="{11EE1199-BC58-4197-B46A-DA2F2AC75019}"/>
    <cellStyle name="40% - Accent4 2 2 2 6" xfId="4833" xr:uid="{56E42872-5F4A-449C-8E5D-6A17FCE0B7D1}"/>
    <cellStyle name="40% - Accent4 2 2 2 6 2" xfId="9135" xr:uid="{9D9AC310-278A-4988-A3EC-241341271199}"/>
    <cellStyle name="40% - Accent4 2 2 2 7" xfId="7069" xr:uid="{55164C3C-5814-40C5-8D85-074D043E0AE7}"/>
    <cellStyle name="40% - Accent4 2 2 2 8" xfId="2765" xr:uid="{FE7A31B9-9E14-4D4C-8198-C3A49B1E150D}"/>
    <cellStyle name="40% - Accent4 2 2 2 9" xfId="1936" xr:uid="{992ABD59-F4C0-4C59-AA02-4C9DD155A2AA}"/>
    <cellStyle name="40% - Accent4 2 2 3" xfId="652" xr:uid="{00000000-0005-0000-0000-000095000000}"/>
    <cellStyle name="40% - Accent4 2 2 3 2" xfId="5409" xr:uid="{D8F30034-1B47-4C42-8D93-04F3BCDBBA8B}"/>
    <cellStyle name="40% - Accent4 2 2 3 2 2" xfId="9627" xr:uid="{7CC455D7-575B-4A21-AA3F-AD46BAA84ED9}"/>
    <cellStyle name="40% - Accent4 2 2 3 3" xfId="7482" xr:uid="{93779B35-3F1F-4D47-B21A-D9A949BEFA09}"/>
    <cellStyle name="40% - Accent4 2 2 3 4" xfId="3178" xr:uid="{ACE169EE-6F6A-474D-9C9B-403B60E32823}"/>
    <cellStyle name="40% - Accent4 2 2 3 5" xfId="2351" xr:uid="{6F67AD6B-1721-4479-A087-B439449D8E7C}"/>
    <cellStyle name="40% - Accent4 2 2 3 6" xfId="1522" xr:uid="{E877E314-181E-4346-8DDD-7ED7917EDD78}"/>
    <cellStyle name="40% - Accent4 2 2 4" xfId="3593" xr:uid="{5E289006-3B9A-4D67-8630-1F4E2C5BFE1C}"/>
    <cellStyle name="40% - Accent4 2 2 4 2" xfId="5822" xr:uid="{5FDF320D-ECC6-4BA5-B1E1-A1FBDFA7A3DC}"/>
    <cellStyle name="40% - Accent4 2 2 4 2 2" xfId="10040" xr:uid="{6A339D7E-10EF-41B8-8DAE-0738F409F2BA}"/>
    <cellStyle name="40% - Accent4 2 2 4 3" xfId="7895" xr:uid="{C7788CAD-7CBF-406D-8DFD-91ADB353E89D}"/>
    <cellStyle name="40% - Accent4 2 2 5" xfId="4006" xr:uid="{E77F40C2-3BF8-4AD0-8E7E-1989F15DE416}"/>
    <cellStyle name="40% - Accent4 2 2 5 2" xfId="6235" xr:uid="{24A98D0F-8C13-470D-AF05-F87848950F2A}"/>
    <cellStyle name="40% - Accent4 2 2 5 2 2" xfId="10453" xr:uid="{3A977933-19EB-4C50-AD14-5A55B2465410}"/>
    <cellStyle name="40% - Accent4 2 2 5 3" xfId="8308" xr:uid="{1E4AFCD3-B38C-43EC-A39E-739DFA209407}"/>
    <cellStyle name="40% - Accent4 2 2 6" xfId="4419" xr:uid="{D0656FEB-1EBF-4462-BE56-922C14562DE5}"/>
    <cellStyle name="40% - Accent4 2 2 6 2" xfId="6648" xr:uid="{1850BA2A-93F5-48FC-8DDC-A7D55255BCA6}"/>
    <cellStyle name="40% - Accent4 2 2 6 2 2" xfId="10866" xr:uid="{C56EF9E9-227A-4218-B86A-E51838DE7FBB}"/>
    <cellStyle name="40% - Accent4 2 2 6 3" xfId="8721" xr:uid="{5D17ADCE-07D4-496D-BAD0-7C22677F6AD6}"/>
    <cellStyle name="40% - Accent4 2 2 7" xfId="4832" xr:uid="{EE53FAC9-3541-415E-A835-F3F688DB93E8}"/>
    <cellStyle name="40% - Accent4 2 2 7 2" xfId="9134" xr:uid="{6EBAEE49-797D-43E0-8033-D99EEFF253AF}"/>
    <cellStyle name="40% - Accent4 2 2 8" xfId="7068" xr:uid="{4025F0FD-CA8E-49E0-B2E0-EF7F7991EF86}"/>
    <cellStyle name="40% - Accent4 2 2 9" xfId="2764" xr:uid="{0CC0F876-5399-4B2F-8295-F4B240084801}"/>
    <cellStyle name="40% - Accent4 2 3" xfId="77" xr:uid="{00000000-0005-0000-0000-000096000000}"/>
    <cellStyle name="40% - Accent4 2 3 10" xfId="1108" xr:uid="{E20CDA6D-748C-47C2-915D-893D06C9CCB0}"/>
    <cellStyle name="40% - Accent4 2 3 2" xfId="654" xr:uid="{00000000-0005-0000-0000-000097000000}"/>
    <cellStyle name="40% - Accent4 2 3 2 2" xfId="5411" xr:uid="{44F91F3D-AD8A-4E91-8996-9A6D193107B5}"/>
    <cellStyle name="40% - Accent4 2 3 2 2 2" xfId="9629" xr:uid="{9A076180-489B-453E-95F0-1AA0C60A7A63}"/>
    <cellStyle name="40% - Accent4 2 3 2 3" xfId="7484" xr:uid="{41690D14-B180-4E68-846B-544B3D43EBB4}"/>
    <cellStyle name="40% - Accent4 2 3 2 4" xfId="3180" xr:uid="{410F6DD7-FB17-44F3-8186-972D8200E918}"/>
    <cellStyle name="40% - Accent4 2 3 2 5" xfId="2353" xr:uid="{49ECB9EB-1C02-4CE7-B037-332E04BA715B}"/>
    <cellStyle name="40% - Accent4 2 3 2 6" xfId="1524" xr:uid="{C18E2D6E-9024-45D7-914B-40A51C284CBC}"/>
    <cellStyle name="40% - Accent4 2 3 3" xfId="3595" xr:uid="{4A258A5D-ABEA-47E0-9E08-AC835D323656}"/>
    <cellStyle name="40% - Accent4 2 3 3 2" xfId="5824" xr:uid="{F21E29AE-E985-4F9C-AD45-BC3FF61E1EE7}"/>
    <cellStyle name="40% - Accent4 2 3 3 2 2" xfId="10042" xr:uid="{98377B05-9A98-4102-B7D4-F2851D85CDD0}"/>
    <cellStyle name="40% - Accent4 2 3 3 3" xfId="7897" xr:uid="{214CDEE6-234A-4B64-9B46-E7FEED5F802B}"/>
    <cellStyle name="40% - Accent4 2 3 4" xfId="4008" xr:uid="{BD3857B0-E04D-42ED-8E46-F46EE20EF820}"/>
    <cellStyle name="40% - Accent4 2 3 4 2" xfId="6237" xr:uid="{B5273F1C-D45D-41B5-BC47-6B1BD058F593}"/>
    <cellStyle name="40% - Accent4 2 3 4 2 2" xfId="10455" xr:uid="{84863DBB-3D77-476C-A1FE-F399D4B1EE1C}"/>
    <cellStyle name="40% - Accent4 2 3 4 3" xfId="8310" xr:uid="{2A2B9482-AC99-4A32-BBD4-C21E6C8FF153}"/>
    <cellStyle name="40% - Accent4 2 3 5" xfId="4421" xr:uid="{1CF4494C-BC7B-433B-A992-662DC68B851B}"/>
    <cellStyle name="40% - Accent4 2 3 5 2" xfId="6650" xr:uid="{1E410270-CE5A-4895-852A-83ADB66122D4}"/>
    <cellStyle name="40% - Accent4 2 3 5 2 2" xfId="10868" xr:uid="{45A23234-8009-4FC9-94B7-0FE415F25322}"/>
    <cellStyle name="40% - Accent4 2 3 5 3" xfId="8723" xr:uid="{2EF5018B-0108-402B-A39C-185E1B8D86CE}"/>
    <cellStyle name="40% - Accent4 2 3 6" xfId="4834" xr:uid="{5A6C9CA4-BB34-4EC1-B3D9-7FA741DB2938}"/>
    <cellStyle name="40% - Accent4 2 3 6 2" xfId="9136" xr:uid="{44D9B0A5-A825-4EEF-B091-510DC9852B59}"/>
    <cellStyle name="40% - Accent4 2 3 7" xfId="7070" xr:uid="{1C57563F-6328-4351-BCCE-D3CD7C0B8D93}"/>
    <cellStyle name="40% - Accent4 2 3 8" xfId="2766" xr:uid="{C114DDF5-03F5-4B46-AF93-1926383EF2DE}"/>
    <cellStyle name="40% - Accent4 2 3 9" xfId="1937" xr:uid="{CA4F0D34-C562-4891-BDE3-2FF60ADD7937}"/>
    <cellStyle name="40% - Accent4 2 4" xfId="651" xr:uid="{00000000-0005-0000-0000-000098000000}"/>
    <cellStyle name="40% - Accent4 2 4 2" xfId="5408" xr:uid="{65EBB70C-3B01-41E7-B1BD-9FA31C3D6D98}"/>
    <cellStyle name="40% - Accent4 2 4 2 2" xfId="9626" xr:uid="{9CEFAE0C-13DC-47C7-A2D2-C2220897ECB2}"/>
    <cellStyle name="40% - Accent4 2 4 3" xfId="7481" xr:uid="{656DC60F-160D-4CCE-991D-A9E864BB865A}"/>
    <cellStyle name="40% - Accent4 2 4 4" xfId="3177" xr:uid="{2815ED37-DAB1-4292-8B42-B2DCBA238F43}"/>
    <cellStyle name="40% - Accent4 2 4 5" xfId="2350" xr:uid="{9BB26CA9-9C5A-4ECC-BDF6-E7CCD27B9BDD}"/>
    <cellStyle name="40% - Accent4 2 4 6" xfId="1521" xr:uid="{5F0D031D-305B-4D68-ACF4-F9B529B05E9B}"/>
    <cellStyle name="40% - Accent4 2 5" xfId="3592" xr:uid="{18C38C0E-5CF6-4D0A-B44C-F5858C4A955C}"/>
    <cellStyle name="40% - Accent4 2 5 2" xfId="5821" xr:uid="{F5D836BB-A044-4F37-9BA8-AAD83A7E7466}"/>
    <cellStyle name="40% - Accent4 2 5 2 2" xfId="10039" xr:uid="{EB6AF1E7-E374-44EA-975D-A39AAB458715}"/>
    <cellStyle name="40% - Accent4 2 5 3" xfId="7894" xr:uid="{ED26BFE1-0108-4DB0-A2E3-96E6C627ECEA}"/>
    <cellStyle name="40% - Accent4 2 6" xfId="4005" xr:uid="{DF88455C-A444-478C-95CA-642B928168CF}"/>
    <cellStyle name="40% - Accent4 2 6 2" xfId="6234" xr:uid="{C54351AF-108A-4A4A-874A-F579EC8B8522}"/>
    <cellStyle name="40% - Accent4 2 6 2 2" xfId="10452" xr:uid="{500657F2-F524-4A5B-B3F7-D6B7D8D9F251}"/>
    <cellStyle name="40% - Accent4 2 6 3" xfId="8307" xr:uid="{CA16402C-2C67-405B-91DE-21B90608CC8F}"/>
    <cellStyle name="40% - Accent4 2 7" xfId="4418" xr:uid="{D3D33AD8-EB6E-4020-B22E-A1BAFBD4E9C0}"/>
    <cellStyle name="40% - Accent4 2 7 2" xfId="6647" xr:uid="{1376C564-66AD-49AC-8ECE-E7C0D2EDC9BB}"/>
    <cellStyle name="40% - Accent4 2 7 2 2" xfId="10865" xr:uid="{E4E7613C-A00C-4E16-94A7-71BDC2F4365F}"/>
    <cellStyle name="40% - Accent4 2 7 3" xfId="8720" xr:uid="{DCDA51F5-E52D-4B0B-B1DF-E55EAF8F338C}"/>
    <cellStyle name="40% - Accent4 2 8" xfId="4831" xr:uid="{318351E8-310F-4098-B1CE-339B32CBF920}"/>
    <cellStyle name="40% - Accent4 2 8 2" xfId="9133" xr:uid="{6139A764-3FFC-4B27-B91F-A29DFD1CBB0D}"/>
    <cellStyle name="40% - Accent4 2 9" xfId="7067" xr:uid="{856D8C56-C2E5-41D6-B709-6A3F3D6E925D}"/>
    <cellStyle name="40% - Accent4 3" xfId="78" xr:uid="{00000000-0005-0000-0000-000099000000}"/>
    <cellStyle name="40% - Accent4 3 10" xfId="1938" xr:uid="{3B282185-F4CE-4211-A214-0324EAFE3110}"/>
    <cellStyle name="40% - Accent4 3 11" xfId="1109" xr:uid="{B34B4037-DC86-454E-AE66-CE3B763FF996}"/>
    <cellStyle name="40% - Accent4 3 2" xfId="79" xr:uid="{00000000-0005-0000-0000-00009A000000}"/>
    <cellStyle name="40% - Accent4 3 2 10" xfId="1110" xr:uid="{CCF9D2A2-AAFF-42B2-9B5D-AEB658434E3A}"/>
    <cellStyle name="40% - Accent4 3 2 2" xfId="656" xr:uid="{00000000-0005-0000-0000-00009B000000}"/>
    <cellStyle name="40% - Accent4 3 2 2 2" xfId="5413" xr:uid="{06FB1BF4-15CC-4856-A64E-521340511CB3}"/>
    <cellStyle name="40% - Accent4 3 2 2 2 2" xfId="9631" xr:uid="{C1674E3B-7AC9-418E-83E0-B964526BF081}"/>
    <cellStyle name="40% - Accent4 3 2 2 3" xfId="7486" xr:uid="{F551A694-5D1B-4E3D-80E2-32829F8A7AED}"/>
    <cellStyle name="40% - Accent4 3 2 2 4" xfId="3182" xr:uid="{D16E6CA7-D4C4-4C52-B414-A42E029688F9}"/>
    <cellStyle name="40% - Accent4 3 2 2 5" xfId="2355" xr:uid="{F836D23C-0421-498C-A148-082919DE2529}"/>
    <cellStyle name="40% - Accent4 3 2 2 6" xfId="1526" xr:uid="{2ED8580F-DADE-4AA2-9CF5-96BE1227A3A5}"/>
    <cellStyle name="40% - Accent4 3 2 3" xfId="3597" xr:uid="{F70C8EC7-FC62-4B67-99EA-C2FF423093EF}"/>
    <cellStyle name="40% - Accent4 3 2 3 2" xfId="5826" xr:uid="{6452C92A-4642-43E9-BCEC-89F61DEF0CA7}"/>
    <cellStyle name="40% - Accent4 3 2 3 2 2" xfId="10044" xr:uid="{3FFA6449-71F6-4012-9B9D-E50D73F56B16}"/>
    <cellStyle name="40% - Accent4 3 2 3 3" xfId="7899" xr:uid="{B3D227A6-0ADD-4A41-A057-45331F0FC93D}"/>
    <cellStyle name="40% - Accent4 3 2 4" xfId="4010" xr:uid="{9F709ED6-CF0B-42BD-9D00-8AC9DBCE0CFA}"/>
    <cellStyle name="40% - Accent4 3 2 4 2" xfId="6239" xr:uid="{FBD56CAE-607E-4C95-A7CD-EE3FB8385CB0}"/>
    <cellStyle name="40% - Accent4 3 2 4 2 2" xfId="10457" xr:uid="{D94CB3CB-C515-4927-A0E0-1E4BB9480206}"/>
    <cellStyle name="40% - Accent4 3 2 4 3" xfId="8312" xr:uid="{195BCDE2-B48C-461A-B0D7-1EA298D6FB13}"/>
    <cellStyle name="40% - Accent4 3 2 5" xfId="4423" xr:uid="{7E23ADFD-0A59-433E-A191-E5C1E919DE94}"/>
    <cellStyle name="40% - Accent4 3 2 5 2" xfId="6652" xr:uid="{E081DA88-886A-4CD5-BF54-5DD2F5782E58}"/>
    <cellStyle name="40% - Accent4 3 2 5 2 2" xfId="10870" xr:uid="{F02C5BE7-DF31-4130-B583-FFF7900C699D}"/>
    <cellStyle name="40% - Accent4 3 2 5 3" xfId="8725" xr:uid="{16C08441-F6C8-4E49-97F8-D7BE7794E8F7}"/>
    <cellStyle name="40% - Accent4 3 2 6" xfId="4836" xr:uid="{2BE7449C-1163-42EC-9272-51A7F2F95570}"/>
    <cellStyle name="40% - Accent4 3 2 6 2" xfId="9138" xr:uid="{5972F640-8264-4B6B-90F7-855F063EAA94}"/>
    <cellStyle name="40% - Accent4 3 2 7" xfId="7072" xr:uid="{7AF0A662-8ED9-4346-A66A-C42A0A9FAF94}"/>
    <cellStyle name="40% - Accent4 3 2 8" xfId="2768" xr:uid="{01E4C7FB-A585-462B-BB37-73C8BEEF2B7D}"/>
    <cellStyle name="40% - Accent4 3 2 9" xfId="1939" xr:uid="{85F9B6C4-2E4F-4667-BEBF-BFB14EEB7703}"/>
    <cellStyle name="40% - Accent4 3 3" xfId="655" xr:uid="{00000000-0005-0000-0000-00009C000000}"/>
    <cellStyle name="40% - Accent4 3 3 2" xfId="5412" xr:uid="{A9BA2A66-58F7-44B3-AA46-987683B513F2}"/>
    <cellStyle name="40% - Accent4 3 3 2 2" xfId="9630" xr:uid="{E3E27D80-7275-4968-BAB8-EC0EA9BE8240}"/>
    <cellStyle name="40% - Accent4 3 3 3" xfId="7485" xr:uid="{3D5F9CB3-20AF-4DEA-92C4-B839DC731670}"/>
    <cellStyle name="40% - Accent4 3 3 4" xfId="3181" xr:uid="{CE650D30-CC44-4837-BCD2-1788A1B04FD2}"/>
    <cellStyle name="40% - Accent4 3 3 5" xfId="2354" xr:uid="{B16D3EC3-A1F5-4996-A26A-5F9526734E23}"/>
    <cellStyle name="40% - Accent4 3 3 6" xfId="1525" xr:uid="{C2AC1D49-CF00-41BA-9D3B-61BE2E909995}"/>
    <cellStyle name="40% - Accent4 3 4" xfId="3596" xr:uid="{34C93F8D-4A16-4AAE-AB9E-A0B80452E35F}"/>
    <cellStyle name="40% - Accent4 3 4 2" xfId="5825" xr:uid="{AC4B4F00-6EB6-4CD5-ADE2-6C6841AF89D2}"/>
    <cellStyle name="40% - Accent4 3 4 2 2" xfId="10043" xr:uid="{E2671537-5A6E-461B-BFC4-D03FE43215CD}"/>
    <cellStyle name="40% - Accent4 3 4 3" xfId="7898" xr:uid="{EA416FEC-DF77-4DB0-8FA0-95131C05C27F}"/>
    <cellStyle name="40% - Accent4 3 5" xfId="4009" xr:uid="{301BA5A4-DFC4-44F9-8AD1-B63D5E8B95FA}"/>
    <cellStyle name="40% - Accent4 3 5 2" xfId="6238" xr:uid="{E9BD63D5-04BF-4935-9C4F-A4078F864C35}"/>
    <cellStyle name="40% - Accent4 3 5 2 2" xfId="10456" xr:uid="{2162DD1E-E89C-45AE-905B-CC9A48C7C3CD}"/>
    <cellStyle name="40% - Accent4 3 5 3" xfId="8311" xr:uid="{2E8A1DC1-4D73-42C3-96AD-6E3B03CEF4F0}"/>
    <cellStyle name="40% - Accent4 3 6" xfId="4422" xr:uid="{EEB24E94-FEE0-4F8A-B738-9B6178533F21}"/>
    <cellStyle name="40% - Accent4 3 6 2" xfId="6651" xr:uid="{B63F45E8-B49B-4981-9ACA-B47265DB2EAC}"/>
    <cellStyle name="40% - Accent4 3 6 2 2" xfId="10869" xr:uid="{FDF109C5-4C8F-406F-BF4B-0CEF55E24113}"/>
    <cellStyle name="40% - Accent4 3 6 3" xfId="8724" xr:uid="{BAB5A339-7C0A-4F31-86ED-D1F1D60C2C23}"/>
    <cellStyle name="40% - Accent4 3 7" xfId="4835" xr:uid="{6B203CDA-AADF-4E4D-A464-CC8CB70F3DC1}"/>
    <cellStyle name="40% - Accent4 3 7 2" xfId="9137" xr:uid="{F8CE6356-35A6-4AAB-A092-EF191862DBC9}"/>
    <cellStyle name="40% - Accent4 3 8" xfId="7071" xr:uid="{C84FEDBF-BB71-457A-8639-D9959851DC52}"/>
    <cellStyle name="40% - Accent4 3 9" xfId="2767" xr:uid="{618C938D-2E69-4CEF-9001-A7D88F1FCCAC}"/>
    <cellStyle name="40% - Accent4 4" xfId="80" xr:uid="{00000000-0005-0000-0000-00009D000000}"/>
    <cellStyle name="40% - Accent4 4 10" xfId="1111" xr:uid="{21CD5CD4-31BF-420C-AFEC-0209CCDD4E65}"/>
    <cellStyle name="40% - Accent4 4 2" xfId="657" xr:uid="{00000000-0005-0000-0000-00009E000000}"/>
    <cellStyle name="40% - Accent4 4 2 2" xfId="5414" xr:uid="{E62296AB-D620-4C10-9AB4-EDF8165496D9}"/>
    <cellStyle name="40% - Accent4 4 2 2 2" xfId="9632" xr:uid="{CE2CFF8B-2550-4295-943A-64E79856C8A4}"/>
    <cellStyle name="40% - Accent4 4 2 3" xfId="7487" xr:uid="{E6BD4CE6-C857-4124-B940-62379F340482}"/>
    <cellStyle name="40% - Accent4 4 2 4" xfId="3183" xr:uid="{6CFDE61A-B16C-4766-8594-5F0CAB8FF090}"/>
    <cellStyle name="40% - Accent4 4 2 5" xfId="2356" xr:uid="{CCCA80F4-E881-4206-8D29-6D7500EBEE21}"/>
    <cellStyle name="40% - Accent4 4 2 6" xfId="1527" xr:uid="{38BE7A5E-D34A-4F8B-BD95-339886DC4FB4}"/>
    <cellStyle name="40% - Accent4 4 3" xfId="3598" xr:uid="{EB5FADC0-D2D7-4203-9C24-028E006F9FB2}"/>
    <cellStyle name="40% - Accent4 4 3 2" xfId="5827" xr:uid="{FCB4298B-36E8-439E-A66E-2BD692CA4166}"/>
    <cellStyle name="40% - Accent4 4 3 2 2" xfId="10045" xr:uid="{18B813D6-D5F3-46CB-9E60-2FD77F46DDB3}"/>
    <cellStyle name="40% - Accent4 4 3 3" xfId="7900" xr:uid="{B2D54202-9775-4C97-95A9-20B248E2DF31}"/>
    <cellStyle name="40% - Accent4 4 4" xfId="4011" xr:uid="{81AC5D87-B91C-49D9-9AE5-A5A7E25A536A}"/>
    <cellStyle name="40% - Accent4 4 4 2" xfId="6240" xr:uid="{A1065A5F-8CA2-4C40-84D1-EAECDD9A6234}"/>
    <cellStyle name="40% - Accent4 4 4 2 2" xfId="10458" xr:uid="{E6E9DD31-666B-4C88-875E-9D6590B68EF8}"/>
    <cellStyle name="40% - Accent4 4 4 3" xfId="8313" xr:uid="{1BB952F8-28A2-4950-8719-4FFB25481253}"/>
    <cellStyle name="40% - Accent4 4 5" xfId="4424" xr:uid="{AB77E04E-1B39-4C83-9368-6F05E2A20670}"/>
    <cellStyle name="40% - Accent4 4 5 2" xfId="6653" xr:uid="{635779FC-F0C5-4E81-8F8E-45E05B7A3387}"/>
    <cellStyle name="40% - Accent4 4 5 2 2" xfId="10871" xr:uid="{97419583-C81F-438B-9A9A-89FCF68B77CE}"/>
    <cellStyle name="40% - Accent4 4 5 3" xfId="8726" xr:uid="{8D4A20B3-3758-40F1-8163-9D4A9A9D2AC6}"/>
    <cellStyle name="40% - Accent4 4 6" xfId="4837" xr:uid="{0691F077-DAE1-4E0A-ABFD-D8CE86BBADFE}"/>
    <cellStyle name="40% - Accent4 4 6 2" xfId="9139" xr:uid="{5EE03A6E-1C24-43CF-88B9-19E2CC8BC010}"/>
    <cellStyle name="40% - Accent4 4 7" xfId="7073" xr:uid="{CF851E6A-26A7-4563-9FD7-D2634DBC3564}"/>
    <cellStyle name="40% - Accent4 4 8" xfId="2769" xr:uid="{CE84EE78-4B38-4A7D-BCD0-EC70A90288EE}"/>
    <cellStyle name="40% - Accent4 4 9" xfId="1940" xr:uid="{E3190C22-D798-4BC5-9885-6AFA6A98C66C}"/>
    <cellStyle name="40% - Accent4 5" xfId="650" xr:uid="{00000000-0005-0000-0000-00009F000000}"/>
    <cellStyle name="40% - Accent4 5 2" xfId="5407" xr:uid="{A6BCB201-2676-461C-A8D7-866032F158ED}"/>
    <cellStyle name="40% - Accent4 5 2 2" xfId="9625" xr:uid="{D3369094-18A2-4DD4-93F2-51F9118317FC}"/>
    <cellStyle name="40% - Accent4 5 3" xfId="7480" xr:uid="{4F078D90-1339-4DBC-AB89-09C614D01D0B}"/>
    <cellStyle name="40% - Accent4 5 4" xfId="3176" xr:uid="{2F1A4BDA-1E2B-4069-923F-9CDE4C66D95B}"/>
    <cellStyle name="40% - Accent4 5 5" xfId="2349" xr:uid="{9898F3D1-B754-49F8-988A-63DE22E3C21D}"/>
    <cellStyle name="40% - Accent4 5 6" xfId="1520" xr:uid="{2F461417-423F-4468-9BBF-195249C5B6F5}"/>
    <cellStyle name="40% - Accent4 6" xfId="3591" xr:uid="{AD571587-673F-4A91-B2E0-6AA799C0C1FE}"/>
    <cellStyle name="40% - Accent4 6 2" xfId="5820" xr:uid="{744862B1-EC10-4A45-9DC7-1C435BD05458}"/>
    <cellStyle name="40% - Accent4 6 2 2" xfId="10038" xr:uid="{50197F7F-2F25-4676-B60D-4DD8DB65933D}"/>
    <cellStyle name="40% - Accent4 6 3" xfId="7893" xr:uid="{719FB062-6959-4A94-ABD0-DE16F3AA8AF0}"/>
    <cellStyle name="40% - Accent4 7" xfId="4004" xr:uid="{02703119-CEBD-43D0-9BE3-73FC259264D7}"/>
    <cellStyle name="40% - Accent4 7 2" xfId="6233" xr:uid="{BFA14190-378B-4AED-B04D-5AE6DAC16DA2}"/>
    <cellStyle name="40% - Accent4 7 2 2" xfId="10451" xr:uid="{618448F4-BE92-435C-A7C2-8EB7E888279B}"/>
    <cellStyle name="40% - Accent4 7 3" xfId="8306" xr:uid="{08D0562D-2076-477F-A8A2-25EA80696B85}"/>
    <cellStyle name="40% - Accent4 8" xfId="4417" xr:uid="{F80E6690-AEFA-487A-A8C6-A879ED2FDAC2}"/>
    <cellStyle name="40% - Accent4 8 2" xfId="6646" xr:uid="{DF5587A7-C637-4093-B95A-1D564C6B59B4}"/>
    <cellStyle name="40% - Accent4 8 2 2" xfId="10864" xr:uid="{4A7D3B13-78F5-4CDD-836A-600B3C83FFFD}"/>
    <cellStyle name="40% - Accent4 8 3" xfId="8719" xr:uid="{C0A0132A-0041-4DE3-8B81-601BE2EB33E7}"/>
    <cellStyle name="40% - Accent4 9" xfId="4830" xr:uid="{96E93E63-461B-42E5-904F-C29874734F2E}"/>
    <cellStyle name="40% - Accent4 9 2" xfId="9132" xr:uid="{C7858DAF-A24B-41C2-9708-D23B1DF95F54}"/>
    <cellStyle name="40% - Accent5" xfId="81" builtinId="47" customBuiltin="1"/>
    <cellStyle name="40% - Accent5 10" xfId="7074" xr:uid="{020161A1-2673-424F-902B-FE7D9F2913BF}"/>
    <cellStyle name="40% - Accent5 11" xfId="2770" xr:uid="{1949417B-2230-4D34-A5E3-38F769A83637}"/>
    <cellStyle name="40% - Accent5 12" xfId="1941" xr:uid="{C20F2F59-F5D6-4B11-AD72-6EF8AC82280C}"/>
    <cellStyle name="40% - Accent5 13" xfId="1112" xr:uid="{FB06951D-B30E-4B73-B6B8-0477AEB99D28}"/>
    <cellStyle name="40% - Accent5 2" xfId="82" xr:uid="{00000000-0005-0000-0000-0000A1000000}"/>
    <cellStyle name="40% - Accent5 2 10" xfId="2771" xr:uid="{8C48F967-0DB3-40EA-A81B-2347F9F323B6}"/>
    <cellStyle name="40% - Accent5 2 11" xfId="1942" xr:uid="{28CA5BC8-0054-4C87-8822-9C021BF07312}"/>
    <cellStyle name="40% - Accent5 2 12" xfId="1113" xr:uid="{F726F484-B113-462C-AFEE-A7392121C099}"/>
    <cellStyle name="40% - Accent5 2 2" xfId="83" xr:uid="{00000000-0005-0000-0000-0000A2000000}"/>
    <cellStyle name="40% - Accent5 2 2 10" xfId="1943" xr:uid="{12F746B4-2DF0-4617-B3EF-56559B21A435}"/>
    <cellStyle name="40% - Accent5 2 2 11" xfId="1114" xr:uid="{B4BAA1DB-604E-4D42-AFE6-88708FDBD871}"/>
    <cellStyle name="40% - Accent5 2 2 2" xfId="84" xr:uid="{00000000-0005-0000-0000-0000A3000000}"/>
    <cellStyle name="40% - Accent5 2 2 2 10" xfId="1115" xr:uid="{C71674A2-B379-48B1-A04B-16881D4BD32A}"/>
    <cellStyle name="40% - Accent5 2 2 2 2" xfId="661" xr:uid="{00000000-0005-0000-0000-0000A4000000}"/>
    <cellStyle name="40% - Accent5 2 2 2 2 2" xfId="5418" xr:uid="{01C87BD9-3FF3-4B36-92EB-B5CA65D5FA7C}"/>
    <cellStyle name="40% - Accent5 2 2 2 2 2 2" xfId="9636" xr:uid="{354E1D6A-93F2-443B-8830-4725C69397DC}"/>
    <cellStyle name="40% - Accent5 2 2 2 2 3" xfId="7491" xr:uid="{13C25292-BAAA-4034-B7F8-3AD6B8C247C3}"/>
    <cellStyle name="40% - Accent5 2 2 2 2 4" xfId="3187" xr:uid="{6484E4B6-2549-4668-8245-BF69BA58CFC7}"/>
    <cellStyle name="40% - Accent5 2 2 2 2 5" xfId="2360" xr:uid="{074D8450-6F0F-4925-B40D-4A145A692133}"/>
    <cellStyle name="40% - Accent5 2 2 2 2 6" xfId="1531" xr:uid="{52ED7039-9A91-45E9-A2BA-EAE68B08D99A}"/>
    <cellStyle name="40% - Accent5 2 2 2 3" xfId="3602" xr:uid="{81D9504E-0E7F-4CAF-86C2-E9D07369724D}"/>
    <cellStyle name="40% - Accent5 2 2 2 3 2" xfId="5831" xr:uid="{11FA1930-3850-4CF3-AA92-00AD3723C791}"/>
    <cellStyle name="40% - Accent5 2 2 2 3 2 2" xfId="10049" xr:uid="{39B5A4E4-2988-4EDB-BD95-A13608F38413}"/>
    <cellStyle name="40% - Accent5 2 2 2 3 3" xfId="7904" xr:uid="{867546B8-C3D9-4025-B85A-40DD0502A26C}"/>
    <cellStyle name="40% - Accent5 2 2 2 4" xfId="4015" xr:uid="{8CE09CBF-9EC2-49FD-99DC-8927E5549A23}"/>
    <cellStyle name="40% - Accent5 2 2 2 4 2" xfId="6244" xr:uid="{46CB8A96-3D9A-4647-BA70-F95079300C43}"/>
    <cellStyle name="40% - Accent5 2 2 2 4 2 2" xfId="10462" xr:uid="{34B5D61B-FAA5-43DE-A3BD-F29FDFF34310}"/>
    <cellStyle name="40% - Accent5 2 2 2 4 3" xfId="8317" xr:uid="{F52A506B-9DFF-4252-A994-761A323DC199}"/>
    <cellStyle name="40% - Accent5 2 2 2 5" xfId="4428" xr:uid="{E47F14F4-70B3-451D-99FB-934FE1F092B2}"/>
    <cellStyle name="40% - Accent5 2 2 2 5 2" xfId="6657" xr:uid="{AE8C1C9E-C1B5-4E9A-A33E-EE6EAB3174A1}"/>
    <cellStyle name="40% - Accent5 2 2 2 5 2 2" xfId="10875" xr:uid="{9B176D92-446F-44BA-BD1F-62D70EA600F0}"/>
    <cellStyle name="40% - Accent5 2 2 2 5 3" xfId="8730" xr:uid="{F22F4D80-E09C-4FBB-889D-05A68CA8075C}"/>
    <cellStyle name="40% - Accent5 2 2 2 6" xfId="4841" xr:uid="{853DF702-7734-4384-9E3A-78FCD919E277}"/>
    <cellStyle name="40% - Accent5 2 2 2 6 2" xfId="9143" xr:uid="{C9B3EFD0-882C-4898-9C36-591E9669F9EB}"/>
    <cellStyle name="40% - Accent5 2 2 2 7" xfId="7077" xr:uid="{8425776E-B172-44EE-9B77-4E7C9E81E634}"/>
    <cellStyle name="40% - Accent5 2 2 2 8" xfId="2773" xr:uid="{492B4A41-C138-44FB-9399-D824415592D7}"/>
    <cellStyle name="40% - Accent5 2 2 2 9" xfId="1944" xr:uid="{0AC5EEAB-066B-45EB-8E4A-E94F55B71171}"/>
    <cellStyle name="40% - Accent5 2 2 3" xfId="660" xr:uid="{00000000-0005-0000-0000-0000A5000000}"/>
    <cellStyle name="40% - Accent5 2 2 3 2" xfId="5417" xr:uid="{3AB11611-A20F-432C-8D21-1338A98D69BF}"/>
    <cellStyle name="40% - Accent5 2 2 3 2 2" xfId="9635" xr:uid="{3816300A-CD89-4CBC-A9B6-223FE1CCC2E8}"/>
    <cellStyle name="40% - Accent5 2 2 3 3" xfId="7490" xr:uid="{E30F9914-B5E5-4EF1-9CB9-AA51F931AFF4}"/>
    <cellStyle name="40% - Accent5 2 2 3 4" xfId="3186" xr:uid="{437507C5-A207-4BFB-ADAD-5B3F1D34B074}"/>
    <cellStyle name="40% - Accent5 2 2 3 5" xfId="2359" xr:uid="{DDBEC9F6-A2B6-41AE-8991-A4C42F1AEC12}"/>
    <cellStyle name="40% - Accent5 2 2 3 6" xfId="1530" xr:uid="{922EA40E-BE0E-4C0A-87E8-21813E103839}"/>
    <cellStyle name="40% - Accent5 2 2 4" xfId="3601" xr:uid="{8AF3845E-8043-40FA-9A2B-DDA8FFB0E9A1}"/>
    <cellStyle name="40% - Accent5 2 2 4 2" xfId="5830" xr:uid="{F98BE587-8D7B-49DC-99F8-96FD2DF02CBC}"/>
    <cellStyle name="40% - Accent5 2 2 4 2 2" xfId="10048" xr:uid="{DD0A0F5A-3CD8-4904-8A0B-54A096B96EB0}"/>
    <cellStyle name="40% - Accent5 2 2 4 3" xfId="7903" xr:uid="{04DA23F6-6195-4438-9855-28C006F9B738}"/>
    <cellStyle name="40% - Accent5 2 2 5" xfId="4014" xr:uid="{C22199E8-1599-417F-86C3-2B8934DF8116}"/>
    <cellStyle name="40% - Accent5 2 2 5 2" xfId="6243" xr:uid="{560881DB-64F2-42B3-B7EF-A51CC09A6730}"/>
    <cellStyle name="40% - Accent5 2 2 5 2 2" xfId="10461" xr:uid="{96243784-2DB2-4AAF-AF52-9239CB040EDB}"/>
    <cellStyle name="40% - Accent5 2 2 5 3" xfId="8316" xr:uid="{16062BEC-72CF-4E3C-9E4B-96176C094CDB}"/>
    <cellStyle name="40% - Accent5 2 2 6" xfId="4427" xr:uid="{7B06E0A1-BA1E-4A2B-B923-2142693D1E12}"/>
    <cellStyle name="40% - Accent5 2 2 6 2" xfId="6656" xr:uid="{8F4110D0-410F-4857-A14E-AFDF2C031836}"/>
    <cellStyle name="40% - Accent5 2 2 6 2 2" xfId="10874" xr:uid="{5345643F-DC3B-444B-8A94-F6565328E770}"/>
    <cellStyle name="40% - Accent5 2 2 6 3" xfId="8729" xr:uid="{6979E90D-526E-4E6A-BC8B-28BC3967292A}"/>
    <cellStyle name="40% - Accent5 2 2 7" xfId="4840" xr:uid="{A01F2765-2FC4-4A1A-A7E3-4A63C392D08D}"/>
    <cellStyle name="40% - Accent5 2 2 7 2" xfId="9142" xr:uid="{4C6FB81C-0322-474E-A1E3-E1A5E8978B31}"/>
    <cellStyle name="40% - Accent5 2 2 8" xfId="7076" xr:uid="{B714EE3A-141F-4C43-9B86-EF1601AB879F}"/>
    <cellStyle name="40% - Accent5 2 2 9" xfId="2772" xr:uid="{9B8A23F7-DED3-420F-9D7A-694A3A9C7B10}"/>
    <cellStyle name="40% - Accent5 2 3" xfId="85" xr:uid="{00000000-0005-0000-0000-0000A6000000}"/>
    <cellStyle name="40% - Accent5 2 3 10" xfId="1116" xr:uid="{7F432561-7331-47CE-85BD-CA07A3791A36}"/>
    <cellStyle name="40% - Accent5 2 3 2" xfId="662" xr:uid="{00000000-0005-0000-0000-0000A7000000}"/>
    <cellStyle name="40% - Accent5 2 3 2 2" xfId="5419" xr:uid="{4FFA89CD-0374-4CCC-A266-A4E1077707FA}"/>
    <cellStyle name="40% - Accent5 2 3 2 2 2" xfId="9637" xr:uid="{0BD36142-C9F3-4516-8182-D55F8344B37C}"/>
    <cellStyle name="40% - Accent5 2 3 2 3" xfId="7492" xr:uid="{852EC797-A024-46AA-929E-831236FD7B14}"/>
    <cellStyle name="40% - Accent5 2 3 2 4" xfId="3188" xr:uid="{15CC5243-3C69-4667-8CBD-1008629D16EC}"/>
    <cellStyle name="40% - Accent5 2 3 2 5" xfId="2361" xr:uid="{143DBAC3-8A99-4381-8D49-C9BF290681B0}"/>
    <cellStyle name="40% - Accent5 2 3 2 6" xfId="1532" xr:uid="{8F1A5C3B-32A9-4268-B386-66B348690148}"/>
    <cellStyle name="40% - Accent5 2 3 3" xfId="3603" xr:uid="{EFF5D8E7-7C13-42FA-AC85-55B7B9924C9C}"/>
    <cellStyle name="40% - Accent5 2 3 3 2" xfId="5832" xr:uid="{CFDB9783-DD7F-48C2-9F1E-58E8F1DDA5BE}"/>
    <cellStyle name="40% - Accent5 2 3 3 2 2" xfId="10050" xr:uid="{E88CDA57-C1CA-4948-9E20-FBF654900A24}"/>
    <cellStyle name="40% - Accent5 2 3 3 3" xfId="7905" xr:uid="{3AC5E4C0-BD19-4152-B1B2-E3BC659598AC}"/>
    <cellStyle name="40% - Accent5 2 3 4" xfId="4016" xr:uid="{20FE59C6-F662-45F7-A381-713E9A468763}"/>
    <cellStyle name="40% - Accent5 2 3 4 2" xfId="6245" xr:uid="{27641B0A-5F69-4F64-85F6-23D985DE5287}"/>
    <cellStyle name="40% - Accent5 2 3 4 2 2" xfId="10463" xr:uid="{AFAD3322-7655-4B2B-B1AA-F3D6B80D4F4F}"/>
    <cellStyle name="40% - Accent5 2 3 4 3" xfId="8318" xr:uid="{657C5A67-00E0-4A4D-94FE-8FFBDB05AF94}"/>
    <cellStyle name="40% - Accent5 2 3 5" xfId="4429" xr:uid="{6447EB21-A67B-403A-95C0-F862D68696BD}"/>
    <cellStyle name="40% - Accent5 2 3 5 2" xfId="6658" xr:uid="{25F4F576-6B09-48BD-91A3-AFF7E6CF7280}"/>
    <cellStyle name="40% - Accent5 2 3 5 2 2" xfId="10876" xr:uid="{7225823D-EB9A-476E-B634-BF7E5E1B37A5}"/>
    <cellStyle name="40% - Accent5 2 3 5 3" xfId="8731" xr:uid="{9ECC351A-C99E-483F-BCEB-FFEC854503FD}"/>
    <cellStyle name="40% - Accent5 2 3 6" xfId="4842" xr:uid="{0E27CEF9-E51F-43E7-81E4-FE1F6986A724}"/>
    <cellStyle name="40% - Accent5 2 3 6 2" xfId="9144" xr:uid="{9BBAFF4F-2B78-4E0B-8BAB-788BE76F8098}"/>
    <cellStyle name="40% - Accent5 2 3 7" xfId="7078" xr:uid="{592A5A72-EE12-4098-94C5-14CBC8EC3EE8}"/>
    <cellStyle name="40% - Accent5 2 3 8" xfId="2774" xr:uid="{7107CDE4-18DC-498D-B7F6-A94E20018897}"/>
    <cellStyle name="40% - Accent5 2 3 9" xfId="1945" xr:uid="{314BE74C-C5F3-4CFA-B521-4174B9BEB1A6}"/>
    <cellStyle name="40% - Accent5 2 4" xfId="659" xr:uid="{00000000-0005-0000-0000-0000A8000000}"/>
    <cellStyle name="40% - Accent5 2 4 2" xfId="5416" xr:uid="{59A6E04F-83E5-4E17-A4A2-D70F7B98DFFB}"/>
    <cellStyle name="40% - Accent5 2 4 2 2" xfId="9634" xr:uid="{8808353E-ACEA-4BF9-9DA6-1D785027BE76}"/>
    <cellStyle name="40% - Accent5 2 4 3" xfId="7489" xr:uid="{B782D2DD-AAA8-4D1B-939E-19B4CC799B89}"/>
    <cellStyle name="40% - Accent5 2 4 4" xfId="3185" xr:uid="{B9FD3B0C-96BD-4F0F-B685-DDF030AA96D2}"/>
    <cellStyle name="40% - Accent5 2 4 5" xfId="2358" xr:uid="{941F8F01-1017-4660-806D-523D4C49E290}"/>
    <cellStyle name="40% - Accent5 2 4 6" xfId="1529" xr:uid="{4225C5CD-2BD0-44DA-AA26-071B5D4E2B4D}"/>
    <cellStyle name="40% - Accent5 2 5" xfId="3600" xr:uid="{5ABA9208-563B-4398-BED5-BEE5A21022F8}"/>
    <cellStyle name="40% - Accent5 2 5 2" xfId="5829" xr:uid="{0BA7C5AE-DD6F-4592-B77F-552096B892C4}"/>
    <cellStyle name="40% - Accent5 2 5 2 2" xfId="10047" xr:uid="{31554214-9022-458B-9CDF-899329D0CEF3}"/>
    <cellStyle name="40% - Accent5 2 5 3" xfId="7902" xr:uid="{BFE4FAA2-40DF-4D0F-8ACA-8234AB7B7985}"/>
    <cellStyle name="40% - Accent5 2 6" xfId="4013" xr:uid="{D683C3BF-E3F5-45BF-9C93-6DF5B03A1CA9}"/>
    <cellStyle name="40% - Accent5 2 6 2" xfId="6242" xr:uid="{73A5F06B-F2A9-4FC4-8942-5D8FFCD7F3DD}"/>
    <cellStyle name="40% - Accent5 2 6 2 2" xfId="10460" xr:uid="{338CEE30-BD33-4E75-967D-913DEF737084}"/>
    <cellStyle name="40% - Accent5 2 6 3" xfId="8315" xr:uid="{8689EC6F-72CB-41CF-8A99-2C03B34FE6F0}"/>
    <cellStyle name="40% - Accent5 2 7" xfId="4426" xr:uid="{0D7DA456-8F7B-42F9-992D-ADA07827F6A5}"/>
    <cellStyle name="40% - Accent5 2 7 2" xfId="6655" xr:uid="{18351505-1BAA-47C1-8AEA-7616F5154D56}"/>
    <cellStyle name="40% - Accent5 2 7 2 2" xfId="10873" xr:uid="{B66F45A1-C3F5-4A9F-AA9E-EBAFF5B0A91B}"/>
    <cellStyle name="40% - Accent5 2 7 3" xfId="8728" xr:uid="{16E5ACA6-4D83-4B2E-8F12-A412E9D33E89}"/>
    <cellStyle name="40% - Accent5 2 8" xfId="4839" xr:uid="{8EF41573-2E44-4AE8-A1A4-C00D2DD32360}"/>
    <cellStyle name="40% - Accent5 2 8 2" xfId="9141" xr:uid="{C6795753-BE31-43A2-B958-6CC1CD82D6D0}"/>
    <cellStyle name="40% - Accent5 2 9" xfId="7075" xr:uid="{334CDDCF-F4CF-4038-B144-BE1153CAC739}"/>
    <cellStyle name="40% - Accent5 3" xfId="86" xr:uid="{00000000-0005-0000-0000-0000A9000000}"/>
    <cellStyle name="40% - Accent5 3 10" xfId="1946" xr:uid="{D8E78E65-ED73-435F-88E0-F4B57107913F}"/>
    <cellStyle name="40% - Accent5 3 11" xfId="1117" xr:uid="{2222A6F1-E243-4E76-AEE7-FE175A0A883F}"/>
    <cellStyle name="40% - Accent5 3 2" xfId="87" xr:uid="{00000000-0005-0000-0000-0000AA000000}"/>
    <cellStyle name="40% - Accent5 3 2 10" xfId="1118" xr:uid="{1BF4F83C-399C-4061-88B2-4B0D0FB57A7C}"/>
    <cellStyle name="40% - Accent5 3 2 2" xfId="664" xr:uid="{00000000-0005-0000-0000-0000AB000000}"/>
    <cellStyle name="40% - Accent5 3 2 2 2" xfId="5421" xr:uid="{5ECAB104-7E97-4398-861F-A1F972A48F8F}"/>
    <cellStyle name="40% - Accent5 3 2 2 2 2" xfId="9639" xr:uid="{2220E32E-CA4E-4F23-BA51-B0D2359B9329}"/>
    <cellStyle name="40% - Accent5 3 2 2 3" xfId="7494" xr:uid="{BE59F2C0-653E-4042-87F8-52CA088F35ED}"/>
    <cellStyle name="40% - Accent5 3 2 2 4" xfId="3190" xr:uid="{44F8492A-7892-4810-9D51-4DD4F92C632E}"/>
    <cellStyle name="40% - Accent5 3 2 2 5" xfId="2363" xr:uid="{7069DEAB-E605-4071-931A-F5509CD220EE}"/>
    <cellStyle name="40% - Accent5 3 2 2 6" xfId="1534" xr:uid="{FE771357-563F-467D-8F7E-9DBBFB7B7B93}"/>
    <cellStyle name="40% - Accent5 3 2 3" xfId="3605" xr:uid="{5945623A-E826-4965-9451-5CC6A9276450}"/>
    <cellStyle name="40% - Accent5 3 2 3 2" xfId="5834" xr:uid="{C3C1A9A5-A44E-462F-B28C-06EDCBEB5953}"/>
    <cellStyle name="40% - Accent5 3 2 3 2 2" xfId="10052" xr:uid="{5E6EC9DF-21EF-4C28-A5E9-1C0C229F308A}"/>
    <cellStyle name="40% - Accent5 3 2 3 3" xfId="7907" xr:uid="{A4FE0189-51F2-48EC-9906-6EF0D9DE257B}"/>
    <cellStyle name="40% - Accent5 3 2 4" xfId="4018" xr:uid="{F969A43D-EEFE-45E0-B8C1-7A108E923879}"/>
    <cellStyle name="40% - Accent5 3 2 4 2" xfId="6247" xr:uid="{E96264F5-CE39-454B-A97E-72211837B4CF}"/>
    <cellStyle name="40% - Accent5 3 2 4 2 2" xfId="10465" xr:uid="{B5A417FD-DC45-44E9-82E0-AC9FFF5B72DD}"/>
    <cellStyle name="40% - Accent5 3 2 4 3" xfId="8320" xr:uid="{5D25F211-B7F8-49A2-8251-CF698A799EEF}"/>
    <cellStyle name="40% - Accent5 3 2 5" xfId="4431" xr:uid="{438D385E-6C50-4DC7-BFD1-18C25883FCA6}"/>
    <cellStyle name="40% - Accent5 3 2 5 2" xfId="6660" xr:uid="{847191C9-12FC-41A7-8270-327D91B18656}"/>
    <cellStyle name="40% - Accent5 3 2 5 2 2" xfId="10878" xr:uid="{E733F907-42D9-4053-BF07-504CE565682D}"/>
    <cellStyle name="40% - Accent5 3 2 5 3" xfId="8733" xr:uid="{ABCB7039-59B2-4FD4-B9EE-6C0C04C58849}"/>
    <cellStyle name="40% - Accent5 3 2 6" xfId="4844" xr:uid="{E01CEC1C-CEF3-4852-ADEE-4068E0564F63}"/>
    <cellStyle name="40% - Accent5 3 2 6 2" xfId="9146" xr:uid="{68DF0C5E-F75F-4269-8C59-22920BFDCB65}"/>
    <cellStyle name="40% - Accent5 3 2 7" xfId="7080" xr:uid="{8A276742-EEA7-4D0B-9829-6881ACF1C18B}"/>
    <cellStyle name="40% - Accent5 3 2 8" xfId="2776" xr:uid="{6F63E844-E8FA-42C7-850D-52B333F2D0DC}"/>
    <cellStyle name="40% - Accent5 3 2 9" xfId="1947" xr:uid="{B3F8627F-CEA3-41E1-B796-8AA70D63FB7A}"/>
    <cellStyle name="40% - Accent5 3 3" xfId="663" xr:uid="{00000000-0005-0000-0000-0000AC000000}"/>
    <cellStyle name="40% - Accent5 3 3 2" xfId="5420" xr:uid="{B5B05CCE-BE43-459F-9736-089CF0F08885}"/>
    <cellStyle name="40% - Accent5 3 3 2 2" xfId="9638" xr:uid="{B59C0A42-73EF-46C7-822E-EBF5B2C9CB59}"/>
    <cellStyle name="40% - Accent5 3 3 3" xfId="7493" xr:uid="{C2CE68FF-1015-41F8-AEFB-912FFD6352D8}"/>
    <cellStyle name="40% - Accent5 3 3 4" xfId="3189" xr:uid="{A8687B0D-C4B6-4D3B-8F37-FB9A2A35B1C2}"/>
    <cellStyle name="40% - Accent5 3 3 5" xfId="2362" xr:uid="{9FE99240-F8B2-4387-B41C-872CF3799A8A}"/>
    <cellStyle name="40% - Accent5 3 3 6" xfId="1533" xr:uid="{6874A57A-41A6-4A0D-A0F5-8A97076D1F3E}"/>
    <cellStyle name="40% - Accent5 3 4" xfId="3604" xr:uid="{7D56FFAB-623F-4942-9AB0-8CE750C841E0}"/>
    <cellStyle name="40% - Accent5 3 4 2" xfId="5833" xr:uid="{2B2BCC41-1DE1-42EA-8E2A-FD09CD1327F2}"/>
    <cellStyle name="40% - Accent5 3 4 2 2" xfId="10051" xr:uid="{B9A63E97-8C70-40AF-91DA-5D9CEF92780D}"/>
    <cellStyle name="40% - Accent5 3 4 3" xfId="7906" xr:uid="{D2C13592-96EE-4653-94CB-8A07D59513C6}"/>
    <cellStyle name="40% - Accent5 3 5" xfId="4017" xr:uid="{8E862156-C100-4105-B641-A3D1300BAB11}"/>
    <cellStyle name="40% - Accent5 3 5 2" xfId="6246" xr:uid="{7A8083DE-5FE7-4582-AA93-B998AF68C574}"/>
    <cellStyle name="40% - Accent5 3 5 2 2" xfId="10464" xr:uid="{DD826E85-9195-4858-A7FC-7EB8ECB1FE5E}"/>
    <cellStyle name="40% - Accent5 3 5 3" xfId="8319" xr:uid="{5A8DBAA1-11E0-4635-A3F0-06F7D3F0A679}"/>
    <cellStyle name="40% - Accent5 3 6" xfId="4430" xr:uid="{17D36A7E-F132-4AB3-9F02-B37B196CE684}"/>
    <cellStyle name="40% - Accent5 3 6 2" xfId="6659" xr:uid="{BEA0C837-BFF8-4C48-B49C-6900506342BB}"/>
    <cellStyle name="40% - Accent5 3 6 2 2" xfId="10877" xr:uid="{6591204D-A92F-40CD-83C1-9A508C1B0864}"/>
    <cellStyle name="40% - Accent5 3 6 3" xfId="8732" xr:uid="{709D4568-C6B7-4CD8-96A7-6F8F254C38F8}"/>
    <cellStyle name="40% - Accent5 3 7" xfId="4843" xr:uid="{48129569-B20F-40F1-BA37-3BD9B8AB0CBE}"/>
    <cellStyle name="40% - Accent5 3 7 2" xfId="9145" xr:uid="{BA963CF3-4722-4350-9B35-6D12C48913CB}"/>
    <cellStyle name="40% - Accent5 3 8" xfId="7079" xr:uid="{29DF9668-FAF4-4994-878E-F03233FF73A0}"/>
    <cellStyle name="40% - Accent5 3 9" xfId="2775" xr:uid="{C37E6D4C-4BBD-45F5-BFB2-3E173612FD41}"/>
    <cellStyle name="40% - Accent5 4" xfId="88" xr:uid="{00000000-0005-0000-0000-0000AD000000}"/>
    <cellStyle name="40% - Accent5 4 10" xfId="1119" xr:uid="{DDDD5953-CAC8-4234-BD6B-6DBB5D67C027}"/>
    <cellStyle name="40% - Accent5 4 2" xfId="665" xr:uid="{00000000-0005-0000-0000-0000AE000000}"/>
    <cellStyle name="40% - Accent5 4 2 2" xfId="5422" xr:uid="{C067883F-FEDC-4289-959B-6DBA39218CF8}"/>
    <cellStyle name="40% - Accent5 4 2 2 2" xfId="9640" xr:uid="{F48356AC-3CFA-4CE0-8111-092199B43294}"/>
    <cellStyle name="40% - Accent5 4 2 3" xfId="7495" xr:uid="{BF86C4B2-8F51-479B-B4A4-F6AF14C9ED30}"/>
    <cellStyle name="40% - Accent5 4 2 4" xfId="3191" xr:uid="{71DCACE8-AE15-40F5-BD62-59C4224A2B81}"/>
    <cellStyle name="40% - Accent5 4 2 5" xfId="2364" xr:uid="{EF752FBA-7E66-43DB-9DD3-8F2B07817B46}"/>
    <cellStyle name="40% - Accent5 4 2 6" xfId="1535" xr:uid="{E6A38123-77F0-468C-879A-D9C355B45DDE}"/>
    <cellStyle name="40% - Accent5 4 3" xfId="3606" xr:uid="{4DFF1CC9-7D10-4D29-B7DB-FB9DBEB18119}"/>
    <cellStyle name="40% - Accent5 4 3 2" xfId="5835" xr:uid="{C86EDDAE-2586-4689-A7E3-5B6252C335E7}"/>
    <cellStyle name="40% - Accent5 4 3 2 2" xfId="10053" xr:uid="{F5A64D9F-3FAE-4D75-9184-4D75AE9D06CB}"/>
    <cellStyle name="40% - Accent5 4 3 3" xfId="7908" xr:uid="{E9CC2E8C-0713-4EE5-832D-40AA819ED072}"/>
    <cellStyle name="40% - Accent5 4 4" xfId="4019" xr:uid="{7B4A765C-DCB0-4CC7-9D5C-3A43829333F7}"/>
    <cellStyle name="40% - Accent5 4 4 2" xfId="6248" xr:uid="{468147F5-42C8-4522-850D-7306555F3835}"/>
    <cellStyle name="40% - Accent5 4 4 2 2" xfId="10466" xr:uid="{1192E8B1-D194-4BEA-B653-94F0554FF17A}"/>
    <cellStyle name="40% - Accent5 4 4 3" xfId="8321" xr:uid="{9C6E74AF-9F29-42A9-A9C3-8209B202EC5B}"/>
    <cellStyle name="40% - Accent5 4 5" xfId="4432" xr:uid="{8F9EB958-07C1-41BB-9BB9-84550B630757}"/>
    <cellStyle name="40% - Accent5 4 5 2" xfId="6661" xr:uid="{2D92D2BC-2E74-48B4-AB46-209DA359FBEB}"/>
    <cellStyle name="40% - Accent5 4 5 2 2" xfId="10879" xr:uid="{6DD9C585-119D-49C5-820E-CFA8376A43CD}"/>
    <cellStyle name="40% - Accent5 4 5 3" xfId="8734" xr:uid="{6B0C73C7-6247-4272-A8C8-75FBE3668241}"/>
    <cellStyle name="40% - Accent5 4 6" xfId="4845" xr:uid="{F30185C3-FF25-4798-AA9A-93FCDF76E311}"/>
    <cellStyle name="40% - Accent5 4 6 2" xfId="9147" xr:uid="{6A15CAA8-F1CD-4A8F-BF5B-0983E5002FD0}"/>
    <cellStyle name="40% - Accent5 4 7" xfId="7081" xr:uid="{4127DB2F-B441-46D5-8EE8-EA5FB01C586E}"/>
    <cellStyle name="40% - Accent5 4 8" xfId="2777" xr:uid="{ED435F29-7281-4B86-8ABA-ED6257866C34}"/>
    <cellStyle name="40% - Accent5 4 9" xfId="1948" xr:uid="{E7A646E9-2CCA-44FD-965E-9E8429180907}"/>
    <cellStyle name="40% - Accent5 5" xfId="658" xr:uid="{00000000-0005-0000-0000-0000AF000000}"/>
    <cellStyle name="40% - Accent5 5 2" xfId="5415" xr:uid="{3A06E286-6E7B-4F6D-A4E7-DCD76F825893}"/>
    <cellStyle name="40% - Accent5 5 2 2" xfId="9633" xr:uid="{3DDC7686-4803-4AD5-9FD9-48A8A107A47A}"/>
    <cellStyle name="40% - Accent5 5 3" xfId="7488" xr:uid="{35A8B123-09BE-4A6F-AA28-638808196286}"/>
    <cellStyle name="40% - Accent5 5 4" xfId="3184" xr:uid="{3A005DCF-65F4-4506-9BF5-0D98C87768BA}"/>
    <cellStyle name="40% - Accent5 5 5" xfId="2357" xr:uid="{5449398F-8DAE-4740-A9D5-A2981517335F}"/>
    <cellStyle name="40% - Accent5 5 6" xfId="1528" xr:uid="{A92ED150-7C3B-4052-A458-83D49F5431B6}"/>
    <cellStyle name="40% - Accent5 6" xfId="3599" xr:uid="{62E7ECAE-8F2D-487A-8CC1-9CC6D3CF1755}"/>
    <cellStyle name="40% - Accent5 6 2" xfId="5828" xr:uid="{0DB118D0-11C5-4EBE-ACC5-D4B9F9B612B9}"/>
    <cellStyle name="40% - Accent5 6 2 2" xfId="10046" xr:uid="{7170AE04-AD93-4B13-9F42-ACB3DF12D1CC}"/>
    <cellStyle name="40% - Accent5 6 3" xfId="7901" xr:uid="{64B0765D-400D-4E83-B938-DE4B15FE0388}"/>
    <cellStyle name="40% - Accent5 7" xfId="4012" xr:uid="{49A63D89-DCAA-4942-ADC3-857FFA5AD9AE}"/>
    <cellStyle name="40% - Accent5 7 2" xfId="6241" xr:uid="{A20A68BB-42FC-4988-A40E-74F41A53F97F}"/>
    <cellStyle name="40% - Accent5 7 2 2" xfId="10459" xr:uid="{278E2759-F6E2-4395-941E-0D25AB137F33}"/>
    <cellStyle name="40% - Accent5 7 3" xfId="8314" xr:uid="{122EA0F7-8563-455C-945B-ED9285C7653F}"/>
    <cellStyle name="40% - Accent5 8" xfId="4425" xr:uid="{03432451-DDC9-47AA-9793-1F6ADA128ED1}"/>
    <cellStyle name="40% - Accent5 8 2" xfId="6654" xr:uid="{1064E4F7-999A-4C78-A0E0-324E5668DAE5}"/>
    <cellStyle name="40% - Accent5 8 2 2" xfId="10872" xr:uid="{957B3C30-6C44-4399-B607-2A811D74B728}"/>
    <cellStyle name="40% - Accent5 8 3" xfId="8727" xr:uid="{79702F3C-EBFC-46D2-B7EE-3B136C6E66F8}"/>
    <cellStyle name="40% - Accent5 9" xfId="4838" xr:uid="{A6F1B730-7CC0-4C3F-859B-2B39074B7073}"/>
    <cellStyle name="40% - Accent5 9 2" xfId="9140" xr:uid="{1D9D4C7F-6D04-40F4-8925-10B49561BAD0}"/>
    <cellStyle name="40% - Accent6" xfId="89" builtinId="51" customBuiltin="1"/>
    <cellStyle name="40% - Accent6 10" xfId="7082" xr:uid="{F6F92616-DCA2-4A36-B49B-7BC57054545B}"/>
    <cellStyle name="40% - Accent6 11" xfId="2778" xr:uid="{DE0C6786-8C47-4EF2-B373-8C48DA0092A7}"/>
    <cellStyle name="40% - Accent6 12" xfId="1949" xr:uid="{40DD15A4-E618-489F-B842-D9C3ED97F101}"/>
    <cellStyle name="40% - Accent6 13" xfId="1120" xr:uid="{C64EFF57-8B5A-4C69-8231-98B0D619029B}"/>
    <cellStyle name="40% - Accent6 2" xfId="90" xr:uid="{00000000-0005-0000-0000-0000B1000000}"/>
    <cellStyle name="40% - Accent6 2 10" xfId="2779" xr:uid="{1147E6B5-A0E7-4AB1-82D9-96EE08896071}"/>
    <cellStyle name="40% - Accent6 2 11" xfId="1950" xr:uid="{725E91DC-DB62-4F6C-87AE-BB84E17AAF94}"/>
    <cellStyle name="40% - Accent6 2 12" xfId="1121" xr:uid="{C9CA676E-8B2C-4E6A-80ED-25DA6E266603}"/>
    <cellStyle name="40% - Accent6 2 2" xfId="91" xr:uid="{00000000-0005-0000-0000-0000B2000000}"/>
    <cellStyle name="40% - Accent6 2 2 10" xfId="1951" xr:uid="{D4D57EF6-41DA-43A8-8639-A549F3462098}"/>
    <cellStyle name="40% - Accent6 2 2 11" xfId="1122" xr:uid="{58E38DF7-5BC8-49D4-A204-083D49DD11E6}"/>
    <cellStyle name="40% - Accent6 2 2 2" xfId="92" xr:uid="{00000000-0005-0000-0000-0000B3000000}"/>
    <cellStyle name="40% - Accent6 2 2 2 10" xfId="1123" xr:uid="{236E3E25-7A77-4550-9C5D-E934FF33095C}"/>
    <cellStyle name="40% - Accent6 2 2 2 2" xfId="669" xr:uid="{00000000-0005-0000-0000-0000B4000000}"/>
    <cellStyle name="40% - Accent6 2 2 2 2 2" xfId="5426" xr:uid="{2F2FC536-350A-4C39-A381-7B3E13455E26}"/>
    <cellStyle name="40% - Accent6 2 2 2 2 2 2" xfId="9644" xr:uid="{BB4F5AE4-8C4E-4680-9D7F-1B4FAAC3CFBF}"/>
    <cellStyle name="40% - Accent6 2 2 2 2 3" xfId="7499" xr:uid="{1362D91B-09B6-4B87-83AB-D504160F8CAC}"/>
    <cellStyle name="40% - Accent6 2 2 2 2 4" xfId="3195" xr:uid="{95A20154-52BC-4C42-B49F-38DFEE4559E1}"/>
    <cellStyle name="40% - Accent6 2 2 2 2 5" xfId="2368" xr:uid="{53478A2E-30C8-4F3A-A3D1-966776FE0970}"/>
    <cellStyle name="40% - Accent6 2 2 2 2 6" xfId="1539" xr:uid="{3299ED77-12BB-4305-AEB7-E08A9FED90D5}"/>
    <cellStyle name="40% - Accent6 2 2 2 3" xfId="3610" xr:uid="{2814A470-E5C1-4A1D-A566-00173D56C5B9}"/>
    <cellStyle name="40% - Accent6 2 2 2 3 2" xfId="5839" xr:uid="{2E99D3F5-A0EE-4DDA-9612-B973B29E3987}"/>
    <cellStyle name="40% - Accent6 2 2 2 3 2 2" xfId="10057" xr:uid="{4F504E3E-E72B-4280-B79A-AF5E00CABC0E}"/>
    <cellStyle name="40% - Accent6 2 2 2 3 3" xfId="7912" xr:uid="{19956408-4ACF-4CF2-BB01-0C4F85FD0FC2}"/>
    <cellStyle name="40% - Accent6 2 2 2 4" xfId="4023" xr:uid="{D900BABE-9DE1-41F5-BB60-133759931D8E}"/>
    <cellStyle name="40% - Accent6 2 2 2 4 2" xfId="6252" xr:uid="{BEF648B5-5FDB-4AB2-B7DB-7E3A2BB53D6A}"/>
    <cellStyle name="40% - Accent6 2 2 2 4 2 2" xfId="10470" xr:uid="{BFED0212-423C-4DDA-B0FB-AB573A9166C5}"/>
    <cellStyle name="40% - Accent6 2 2 2 4 3" xfId="8325" xr:uid="{5472625B-A1B2-4F8A-A7D3-E982EF420558}"/>
    <cellStyle name="40% - Accent6 2 2 2 5" xfId="4436" xr:uid="{564D1410-F11B-4EBA-B65A-33BEAB99AF59}"/>
    <cellStyle name="40% - Accent6 2 2 2 5 2" xfId="6665" xr:uid="{162E9B3C-DE59-4F49-98D9-95876BBC956C}"/>
    <cellStyle name="40% - Accent6 2 2 2 5 2 2" xfId="10883" xr:uid="{16EF8AB7-1D9F-4A6B-BFAA-045ADD173931}"/>
    <cellStyle name="40% - Accent6 2 2 2 5 3" xfId="8738" xr:uid="{CA981A09-4F65-4EA8-8C12-20772B293B85}"/>
    <cellStyle name="40% - Accent6 2 2 2 6" xfId="4849" xr:uid="{D43AE3FC-C7D7-48E3-B74B-2932B4BECA97}"/>
    <cellStyle name="40% - Accent6 2 2 2 6 2" xfId="9151" xr:uid="{10CC90C7-29A5-416D-A5E5-6868D3C3D2ED}"/>
    <cellStyle name="40% - Accent6 2 2 2 7" xfId="7085" xr:uid="{884FBC0C-B908-4B7D-BFA4-849CB90624ED}"/>
    <cellStyle name="40% - Accent6 2 2 2 8" xfId="2781" xr:uid="{2ACA79A6-337D-4BF5-9F0E-FE0479C5CF14}"/>
    <cellStyle name="40% - Accent6 2 2 2 9" xfId="1952" xr:uid="{EE8AEBCD-9CAB-4E3C-9BD7-3B2CC1F99184}"/>
    <cellStyle name="40% - Accent6 2 2 3" xfId="668" xr:uid="{00000000-0005-0000-0000-0000B5000000}"/>
    <cellStyle name="40% - Accent6 2 2 3 2" xfId="5425" xr:uid="{6397DA65-3A0B-4120-9ABB-90A8D5F4ACD5}"/>
    <cellStyle name="40% - Accent6 2 2 3 2 2" xfId="9643" xr:uid="{3F902119-E394-4A9C-9DB2-8727C7CD51B7}"/>
    <cellStyle name="40% - Accent6 2 2 3 3" xfId="7498" xr:uid="{1D6DCF70-A8C3-46C1-99CD-BBD9EE8D1434}"/>
    <cellStyle name="40% - Accent6 2 2 3 4" xfId="3194" xr:uid="{834FF65E-F9A4-4861-9AD2-CCCF1D50B28A}"/>
    <cellStyle name="40% - Accent6 2 2 3 5" xfId="2367" xr:uid="{2DE7EE28-C524-4917-A937-9E4EC91B28F2}"/>
    <cellStyle name="40% - Accent6 2 2 3 6" xfId="1538" xr:uid="{5AF69400-2E58-4F83-9424-C8CE054149CD}"/>
    <cellStyle name="40% - Accent6 2 2 4" xfId="3609" xr:uid="{5BBD20CF-4C20-4535-8A81-5B4FC5856AB0}"/>
    <cellStyle name="40% - Accent6 2 2 4 2" xfId="5838" xr:uid="{52452CDF-E3F2-4528-A304-E20A7E229EC4}"/>
    <cellStyle name="40% - Accent6 2 2 4 2 2" xfId="10056" xr:uid="{3D781708-4382-4BD4-B686-11DD83F9DAA6}"/>
    <cellStyle name="40% - Accent6 2 2 4 3" xfId="7911" xr:uid="{F25ED688-CD26-420E-A4F1-8B934831DDBD}"/>
    <cellStyle name="40% - Accent6 2 2 5" xfId="4022" xr:uid="{C48645EF-E145-45F4-B25F-160831B925D3}"/>
    <cellStyle name="40% - Accent6 2 2 5 2" xfId="6251" xr:uid="{1A56E3DF-AD80-46E0-8CF0-02B3522E78E4}"/>
    <cellStyle name="40% - Accent6 2 2 5 2 2" xfId="10469" xr:uid="{DF0B8FE1-9FBB-4311-9743-6B8C8EDD2DB7}"/>
    <cellStyle name="40% - Accent6 2 2 5 3" xfId="8324" xr:uid="{A2B290EE-B940-4AF6-ADED-45CDBF036D2C}"/>
    <cellStyle name="40% - Accent6 2 2 6" xfId="4435" xr:uid="{FACD59C6-3387-47E5-BA5E-A18D640AEBFB}"/>
    <cellStyle name="40% - Accent6 2 2 6 2" xfId="6664" xr:uid="{72496533-4D69-4006-ABBF-4153991A98B9}"/>
    <cellStyle name="40% - Accent6 2 2 6 2 2" xfId="10882" xr:uid="{C21D0F4D-FF42-4BB9-BE58-ED979CEAD551}"/>
    <cellStyle name="40% - Accent6 2 2 6 3" xfId="8737" xr:uid="{3B3DC0D9-97D4-4E4C-9D12-C564D0866960}"/>
    <cellStyle name="40% - Accent6 2 2 7" xfId="4848" xr:uid="{A8468822-922C-426D-9C1C-9E1D6A3117E3}"/>
    <cellStyle name="40% - Accent6 2 2 7 2" xfId="9150" xr:uid="{54052506-5B9B-4D78-B2A6-4A1A483579BB}"/>
    <cellStyle name="40% - Accent6 2 2 8" xfId="7084" xr:uid="{1BCB66A1-E641-4ABF-9AD9-B39D0BA2BCB4}"/>
    <cellStyle name="40% - Accent6 2 2 9" xfId="2780" xr:uid="{BD4E0CA0-2824-4695-B1DE-D4F9E0549CBB}"/>
    <cellStyle name="40% - Accent6 2 3" xfId="93" xr:uid="{00000000-0005-0000-0000-0000B6000000}"/>
    <cellStyle name="40% - Accent6 2 3 10" xfId="1124" xr:uid="{EDAEAB4E-62D2-452A-B48C-FD28D4F00A31}"/>
    <cellStyle name="40% - Accent6 2 3 2" xfId="670" xr:uid="{00000000-0005-0000-0000-0000B7000000}"/>
    <cellStyle name="40% - Accent6 2 3 2 2" xfId="5427" xr:uid="{B993169A-A6F5-4403-B612-6128BF392335}"/>
    <cellStyle name="40% - Accent6 2 3 2 2 2" xfId="9645" xr:uid="{DCB12766-2B12-4768-813E-52CD6CD69458}"/>
    <cellStyle name="40% - Accent6 2 3 2 3" xfId="7500" xr:uid="{E297F1FF-7147-47AA-9F63-17127BD8BD53}"/>
    <cellStyle name="40% - Accent6 2 3 2 4" xfId="3196" xr:uid="{E6F6967E-5F92-4579-A584-C3DDC69407C9}"/>
    <cellStyle name="40% - Accent6 2 3 2 5" xfId="2369" xr:uid="{B1187353-98E0-4815-A1EF-E2ED4EFD8521}"/>
    <cellStyle name="40% - Accent6 2 3 2 6" xfId="1540" xr:uid="{0418F5B2-358D-41CE-812C-B90A661F9539}"/>
    <cellStyle name="40% - Accent6 2 3 3" xfId="3611" xr:uid="{5617D3D8-D7C5-4916-8FF9-93721B112573}"/>
    <cellStyle name="40% - Accent6 2 3 3 2" xfId="5840" xr:uid="{7FB542A7-6A50-4039-B2AD-8B45428F6089}"/>
    <cellStyle name="40% - Accent6 2 3 3 2 2" xfId="10058" xr:uid="{01B277B4-3DC5-4532-A34F-6FC056C6EBF4}"/>
    <cellStyle name="40% - Accent6 2 3 3 3" xfId="7913" xr:uid="{9E24D33F-16A2-412C-9C47-3B65EEDB8EE2}"/>
    <cellStyle name="40% - Accent6 2 3 4" xfId="4024" xr:uid="{B07A1FAE-754F-4CEE-B7E3-D5C3E01DEEC1}"/>
    <cellStyle name="40% - Accent6 2 3 4 2" xfId="6253" xr:uid="{16671834-D48B-412E-986F-B68AEC73A79B}"/>
    <cellStyle name="40% - Accent6 2 3 4 2 2" xfId="10471" xr:uid="{A4841BC3-1E1E-4745-BAAE-9C7AD50F2814}"/>
    <cellStyle name="40% - Accent6 2 3 4 3" xfId="8326" xr:uid="{6A2C59A0-46D3-423B-84CB-6EBBF64674E3}"/>
    <cellStyle name="40% - Accent6 2 3 5" xfId="4437" xr:uid="{2E03B34D-769F-4167-9189-16BD60C08208}"/>
    <cellStyle name="40% - Accent6 2 3 5 2" xfId="6666" xr:uid="{D475640C-8D0B-428D-BEB8-5F217FB1BB2C}"/>
    <cellStyle name="40% - Accent6 2 3 5 2 2" xfId="10884" xr:uid="{8B29DAA6-C21F-4FF9-A9F0-706E3BDC6AA5}"/>
    <cellStyle name="40% - Accent6 2 3 5 3" xfId="8739" xr:uid="{D5DAB3D2-CFC8-4FD4-9C31-232884A32642}"/>
    <cellStyle name="40% - Accent6 2 3 6" xfId="4850" xr:uid="{31F070B6-F6F4-467E-9162-743715D2A90A}"/>
    <cellStyle name="40% - Accent6 2 3 6 2" xfId="9152" xr:uid="{298AAD85-4644-4B52-9C84-162208782E07}"/>
    <cellStyle name="40% - Accent6 2 3 7" xfId="7086" xr:uid="{C1B4E302-262F-4C84-BB98-612D6B030E04}"/>
    <cellStyle name="40% - Accent6 2 3 8" xfId="2782" xr:uid="{4BE6644B-5D90-4972-A57F-08F41DBBB4CF}"/>
    <cellStyle name="40% - Accent6 2 3 9" xfId="1953" xr:uid="{652EAB3B-87FC-4CD6-8EE6-6178B4DA7555}"/>
    <cellStyle name="40% - Accent6 2 4" xfId="667" xr:uid="{00000000-0005-0000-0000-0000B8000000}"/>
    <cellStyle name="40% - Accent6 2 4 2" xfId="5424" xr:uid="{EAC6429B-37E6-4C44-80B9-ED96BC83E109}"/>
    <cellStyle name="40% - Accent6 2 4 2 2" xfId="9642" xr:uid="{6963CD2C-D4B1-4519-A52F-F4B4A284261E}"/>
    <cellStyle name="40% - Accent6 2 4 3" xfId="7497" xr:uid="{145CAB2B-D95A-4B53-80C5-A70B4A8D8E7F}"/>
    <cellStyle name="40% - Accent6 2 4 4" xfId="3193" xr:uid="{B7C1287B-1FF4-4D8A-B4A1-5CB7EDC83B6C}"/>
    <cellStyle name="40% - Accent6 2 4 5" xfId="2366" xr:uid="{550194CB-4B80-47FC-A905-AE876A96889C}"/>
    <cellStyle name="40% - Accent6 2 4 6" xfId="1537" xr:uid="{97234C2F-D0A4-4E52-BBE7-EC305C9EBE86}"/>
    <cellStyle name="40% - Accent6 2 5" xfId="3608" xr:uid="{9B577360-6E2D-4C5F-B295-4C7715D9940D}"/>
    <cellStyle name="40% - Accent6 2 5 2" xfId="5837" xr:uid="{2ABECB71-5487-464B-9D72-70E4BCDCE860}"/>
    <cellStyle name="40% - Accent6 2 5 2 2" xfId="10055" xr:uid="{B32423F3-2C3D-4DA6-A62A-92E9F243368D}"/>
    <cellStyle name="40% - Accent6 2 5 3" xfId="7910" xr:uid="{740BD8D2-9C5D-472E-A383-F1F6FC22BF14}"/>
    <cellStyle name="40% - Accent6 2 6" xfId="4021" xr:uid="{BD0D1582-955F-4FB0-A526-223B3E8A7638}"/>
    <cellStyle name="40% - Accent6 2 6 2" xfId="6250" xr:uid="{DFB917F2-6465-494B-8683-345DDCF16BC7}"/>
    <cellStyle name="40% - Accent6 2 6 2 2" xfId="10468" xr:uid="{88FEB99C-2174-4252-BD87-14D3F4D81DF8}"/>
    <cellStyle name="40% - Accent6 2 6 3" xfId="8323" xr:uid="{25D6D0D9-4F83-44F7-BC75-FE0666239C14}"/>
    <cellStyle name="40% - Accent6 2 7" xfId="4434" xr:uid="{D20E80B1-3301-44A1-A5A8-F29753359BC3}"/>
    <cellStyle name="40% - Accent6 2 7 2" xfId="6663" xr:uid="{C20ADB2F-2E6C-4269-826B-06FE78885C19}"/>
    <cellStyle name="40% - Accent6 2 7 2 2" xfId="10881" xr:uid="{5549BD55-8384-4E81-AE3A-DB640F38503F}"/>
    <cellStyle name="40% - Accent6 2 7 3" xfId="8736" xr:uid="{CF06DD55-1093-4625-9ED2-4430D5B47DD5}"/>
    <cellStyle name="40% - Accent6 2 8" xfId="4847" xr:uid="{7345AE2A-6693-49BD-87EB-7177DCFED6C9}"/>
    <cellStyle name="40% - Accent6 2 8 2" xfId="9149" xr:uid="{3A1E642D-079C-4874-8D36-686F30C2CFA6}"/>
    <cellStyle name="40% - Accent6 2 9" xfId="7083" xr:uid="{A5A406BF-EEC0-498F-A1B1-E87D48D41B14}"/>
    <cellStyle name="40% - Accent6 3" xfId="94" xr:uid="{00000000-0005-0000-0000-0000B9000000}"/>
    <cellStyle name="40% - Accent6 3 10" xfId="1954" xr:uid="{6221900A-6733-4068-A53E-AC801AE683D4}"/>
    <cellStyle name="40% - Accent6 3 11" xfId="1125" xr:uid="{3FA816E0-D5D2-4DA1-849F-9F6D825C7600}"/>
    <cellStyle name="40% - Accent6 3 2" xfId="95" xr:uid="{00000000-0005-0000-0000-0000BA000000}"/>
    <cellStyle name="40% - Accent6 3 2 10" xfId="1126" xr:uid="{A5B878F7-91EA-47F5-AABA-AAAFC81657E2}"/>
    <cellStyle name="40% - Accent6 3 2 2" xfId="672" xr:uid="{00000000-0005-0000-0000-0000BB000000}"/>
    <cellStyle name="40% - Accent6 3 2 2 2" xfId="5429" xr:uid="{7604EBDE-C6AE-4A2B-AD07-09F73D28D5AC}"/>
    <cellStyle name="40% - Accent6 3 2 2 2 2" xfId="9647" xr:uid="{F4ABE939-36E9-46AF-AB94-7D02AB609A6C}"/>
    <cellStyle name="40% - Accent6 3 2 2 3" xfId="7502" xr:uid="{CBF41E70-1255-4B37-8697-96E327C58614}"/>
    <cellStyle name="40% - Accent6 3 2 2 4" xfId="3198" xr:uid="{605A32FD-FFB3-4B1E-A31C-00F85DAB144C}"/>
    <cellStyle name="40% - Accent6 3 2 2 5" xfId="2371" xr:uid="{42B66729-E129-4BE7-8850-4749A9EBBF9E}"/>
    <cellStyle name="40% - Accent6 3 2 2 6" xfId="1542" xr:uid="{C803E4D0-B6B2-4668-8718-B0A0DE21DD4F}"/>
    <cellStyle name="40% - Accent6 3 2 3" xfId="3613" xr:uid="{48A10FBE-BA5A-4873-90EE-AEF68D37DC73}"/>
    <cellStyle name="40% - Accent6 3 2 3 2" xfId="5842" xr:uid="{9CD255BD-7DB3-4804-8A74-75CC91821A2D}"/>
    <cellStyle name="40% - Accent6 3 2 3 2 2" xfId="10060" xr:uid="{ECC699B9-BBA3-423E-968B-B2FD0A0C8993}"/>
    <cellStyle name="40% - Accent6 3 2 3 3" xfId="7915" xr:uid="{1C6D017E-0ADA-4A16-85F5-80204D703685}"/>
    <cellStyle name="40% - Accent6 3 2 4" xfId="4026" xr:uid="{45A27B33-8C42-49EC-818E-8F92B230A11A}"/>
    <cellStyle name="40% - Accent6 3 2 4 2" xfId="6255" xr:uid="{2393453C-E583-45C0-9360-481F9044BDA4}"/>
    <cellStyle name="40% - Accent6 3 2 4 2 2" xfId="10473" xr:uid="{67DD4446-C2B9-41DA-88AD-947979DE254A}"/>
    <cellStyle name="40% - Accent6 3 2 4 3" xfId="8328" xr:uid="{EA35B4B0-7421-468F-8AD3-A16DF7F0CE2A}"/>
    <cellStyle name="40% - Accent6 3 2 5" xfId="4439" xr:uid="{FFFB2226-9E2F-43E0-A622-C8CFAA97682C}"/>
    <cellStyle name="40% - Accent6 3 2 5 2" xfId="6668" xr:uid="{54489609-5803-457D-BF15-F0B0D4453439}"/>
    <cellStyle name="40% - Accent6 3 2 5 2 2" xfId="10886" xr:uid="{B2DCA33C-4BE9-45F1-BF6C-E00CE91621FA}"/>
    <cellStyle name="40% - Accent6 3 2 5 3" xfId="8741" xr:uid="{07AB9712-E1C2-4194-B5FB-6BC36CB5CDEB}"/>
    <cellStyle name="40% - Accent6 3 2 6" xfId="4852" xr:uid="{7795CAC1-1A0E-43DE-A7B6-B7B0E1082341}"/>
    <cellStyle name="40% - Accent6 3 2 6 2" xfId="9154" xr:uid="{5123548A-EB8D-445A-8F12-C17507817D1A}"/>
    <cellStyle name="40% - Accent6 3 2 7" xfId="7088" xr:uid="{9D627AD7-E5AF-4F90-9BF9-9197525C4BCC}"/>
    <cellStyle name="40% - Accent6 3 2 8" xfId="2784" xr:uid="{D446CD32-F810-4B38-B9AE-5220B07A20FA}"/>
    <cellStyle name="40% - Accent6 3 2 9" xfId="1955" xr:uid="{B1318A60-1395-4855-A596-5F340ED362D9}"/>
    <cellStyle name="40% - Accent6 3 3" xfId="671" xr:uid="{00000000-0005-0000-0000-0000BC000000}"/>
    <cellStyle name="40% - Accent6 3 3 2" xfId="5428" xr:uid="{8D219921-50DB-4F34-88A0-0253C1C53A69}"/>
    <cellStyle name="40% - Accent6 3 3 2 2" xfId="9646" xr:uid="{C252ADAA-6D7A-47F9-8D35-FFA4E1458B89}"/>
    <cellStyle name="40% - Accent6 3 3 3" xfId="7501" xr:uid="{5D80C972-586B-4646-95AB-643F427AA6A9}"/>
    <cellStyle name="40% - Accent6 3 3 4" xfId="3197" xr:uid="{14369176-DB65-47AC-8A7E-5D8C5B0DB01D}"/>
    <cellStyle name="40% - Accent6 3 3 5" xfId="2370" xr:uid="{FB44E9E4-8024-4F16-A084-B928D516D0D9}"/>
    <cellStyle name="40% - Accent6 3 3 6" xfId="1541" xr:uid="{A69C9FB5-BB9D-4337-ADA3-0FA1F3D6C832}"/>
    <cellStyle name="40% - Accent6 3 4" xfId="3612" xr:uid="{DF179B9B-0938-4CB2-BEB1-AA9C94C6CBC3}"/>
    <cellStyle name="40% - Accent6 3 4 2" xfId="5841" xr:uid="{E85346D5-6D4A-46A2-A769-B20AC682E680}"/>
    <cellStyle name="40% - Accent6 3 4 2 2" xfId="10059" xr:uid="{B0CE7D93-1924-432E-B42B-7C1AB6644273}"/>
    <cellStyle name="40% - Accent6 3 4 3" xfId="7914" xr:uid="{5E1ECBBC-A83B-408F-9683-BFD1B786F4BC}"/>
    <cellStyle name="40% - Accent6 3 5" xfId="4025" xr:uid="{55A77172-A262-4ECA-9494-9A886AA87543}"/>
    <cellStyle name="40% - Accent6 3 5 2" xfId="6254" xr:uid="{91E9BF40-BA81-4352-97A1-BAE7C54D042E}"/>
    <cellStyle name="40% - Accent6 3 5 2 2" xfId="10472" xr:uid="{23D781F9-79BE-4273-AAC0-694BFAE9CFA8}"/>
    <cellStyle name="40% - Accent6 3 5 3" xfId="8327" xr:uid="{2B72129B-D647-47E6-AE0E-8AD22BD58B53}"/>
    <cellStyle name="40% - Accent6 3 6" xfId="4438" xr:uid="{96F9A6DD-984C-4C8D-B748-2C2117DBA2BD}"/>
    <cellStyle name="40% - Accent6 3 6 2" xfId="6667" xr:uid="{6AD2E5C0-D92A-4475-B870-5173337BB9AB}"/>
    <cellStyle name="40% - Accent6 3 6 2 2" xfId="10885" xr:uid="{F2117091-ACAC-4344-8BFA-12AAA59AD195}"/>
    <cellStyle name="40% - Accent6 3 6 3" xfId="8740" xr:uid="{C1A78F02-122C-47FE-BCDB-7943F8C7E54B}"/>
    <cellStyle name="40% - Accent6 3 7" xfId="4851" xr:uid="{FB9324E7-9E83-47A7-9D7D-DB1DE830C780}"/>
    <cellStyle name="40% - Accent6 3 7 2" xfId="9153" xr:uid="{F0B252D7-EC97-4E9C-B708-462EB24A78A1}"/>
    <cellStyle name="40% - Accent6 3 8" xfId="7087" xr:uid="{8EF74309-7DA0-4B59-9649-30826523CE7E}"/>
    <cellStyle name="40% - Accent6 3 9" xfId="2783" xr:uid="{D79929A0-2E7F-46D4-B4C5-28E70626DE9F}"/>
    <cellStyle name="40% - Accent6 4" xfId="96" xr:uid="{00000000-0005-0000-0000-0000BD000000}"/>
    <cellStyle name="40% - Accent6 4 10" xfId="1127" xr:uid="{87896E60-1F4C-4AF0-A752-9EF8938F6506}"/>
    <cellStyle name="40% - Accent6 4 2" xfId="673" xr:uid="{00000000-0005-0000-0000-0000BE000000}"/>
    <cellStyle name="40% - Accent6 4 2 2" xfId="5430" xr:uid="{0C796490-D200-49B1-8ED3-AC4063512BEC}"/>
    <cellStyle name="40% - Accent6 4 2 2 2" xfId="9648" xr:uid="{E0FB0824-1589-4D2A-ADAB-B6B2B4CE9502}"/>
    <cellStyle name="40% - Accent6 4 2 3" xfId="7503" xr:uid="{C6A0D5F5-4DA9-463A-B0FF-6060EF0857C7}"/>
    <cellStyle name="40% - Accent6 4 2 4" xfId="3199" xr:uid="{FF4B9372-D5D2-4690-A9E3-7ED67BD988AA}"/>
    <cellStyle name="40% - Accent6 4 2 5" xfId="2372" xr:uid="{B5227E44-3489-4E5E-9424-4DF6CB67350C}"/>
    <cellStyle name="40% - Accent6 4 2 6" xfId="1543" xr:uid="{25C7762D-D598-4752-BC20-272EFA8FE755}"/>
    <cellStyle name="40% - Accent6 4 3" xfId="3614" xr:uid="{F049AECA-7644-4335-A9B0-6D60B28D34AC}"/>
    <cellStyle name="40% - Accent6 4 3 2" xfId="5843" xr:uid="{0C7D6F18-A419-400E-BFD0-59525421A5DB}"/>
    <cellStyle name="40% - Accent6 4 3 2 2" xfId="10061" xr:uid="{7B085DE7-AB60-47B5-891A-BFBD5D6583A7}"/>
    <cellStyle name="40% - Accent6 4 3 3" xfId="7916" xr:uid="{8470E0F4-89F1-4AEF-A77A-0C2F97995D02}"/>
    <cellStyle name="40% - Accent6 4 4" xfId="4027" xr:uid="{ED075DAA-B356-4833-8E0E-008DD6251768}"/>
    <cellStyle name="40% - Accent6 4 4 2" xfId="6256" xr:uid="{4E361502-A9CD-4119-AFC5-6774CE0EB020}"/>
    <cellStyle name="40% - Accent6 4 4 2 2" xfId="10474" xr:uid="{B1EB1D2F-349D-476D-86D5-719CA532C118}"/>
    <cellStyle name="40% - Accent6 4 4 3" xfId="8329" xr:uid="{450BC07A-3A46-4311-9787-958CE17E09CA}"/>
    <cellStyle name="40% - Accent6 4 5" xfId="4440" xr:uid="{26F644E6-3F4D-4FE3-86FD-673FF106C7B2}"/>
    <cellStyle name="40% - Accent6 4 5 2" xfId="6669" xr:uid="{2053C2B7-3F10-4B72-BDF4-9AF773C64C01}"/>
    <cellStyle name="40% - Accent6 4 5 2 2" xfId="10887" xr:uid="{7C644B76-FCBB-4A88-9EA7-A6ED134EBBFA}"/>
    <cellStyle name="40% - Accent6 4 5 3" xfId="8742" xr:uid="{56CBB20A-76EA-4E02-B5C7-5DC9B9D68966}"/>
    <cellStyle name="40% - Accent6 4 6" xfId="4853" xr:uid="{4E5A42DD-ED6B-4BC3-BBAE-99D1787D3C3C}"/>
    <cellStyle name="40% - Accent6 4 6 2" xfId="9155" xr:uid="{34EFEA77-E11B-4024-8EA5-17E20095272B}"/>
    <cellStyle name="40% - Accent6 4 7" xfId="7089" xr:uid="{A2A30037-8A01-42E8-88BA-7A58831FABEA}"/>
    <cellStyle name="40% - Accent6 4 8" xfId="2785" xr:uid="{52269786-000A-45B8-AB32-81043AB7108F}"/>
    <cellStyle name="40% - Accent6 4 9" xfId="1956" xr:uid="{45D49E32-FA14-4FA2-A608-6AAB665606C5}"/>
    <cellStyle name="40% - Accent6 5" xfId="666" xr:uid="{00000000-0005-0000-0000-0000BF000000}"/>
    <cellStyle name="40% - Accent6 5 2" xfId="5423" xr:uid="{3BF3A3FA-BE45-4978-A040-17DA706D25E2}"/>
    <cellStyle name="40% - Accent6 5 2 2" xfId="9641" xr:uid="{8CFEB210-8607-43EC-A9AF-ACD69691B3AE}"/>
    <cellStyle name="40% - Accent6 5 3" xfId="7496" xr:uid="{041F78EC-764B-4048-AE79-C02F515FFFEF}"/>
    <cellStyle name="40% - Accent6 5 4" xfId="3192" xr:uid="{EF9C6084-30A6-47FD-9F8B-68197B41B57D}"/>
    <cellStyle name="40% - Accent6 5 5" xfId="2365" xr:uid="{DFCBD4D9-0650-40B2-B5E3-150CA67DCC3F}"/>
    <cellStyle name="40% - Accent6 5 6" xfId="1536" xr:uid="{6EBF3BD0-6386-47E4-996F-AA3DBC475DC3}"/>
    <cellStyle name="40% - Accent6 6" xfId="3607" xr:uid="{7F57FE22-D2A5-417B-93AD-5C94BD824DE0}"/>
    <cellStyle name="40% - Accent6 6 2" xfId="5836" xr:uid="{E90D8387-7AC3-4ECF-B4D4-E275297E3F31}"/>
    <cellStyle name="40% - Accent6 6 2 2" xfId="10054" xr:uid="{E5DE20C8-8DF4-4169-AA85-3A1C0775E97F}"/>
    <cellStyle name="40% - Accent6 6 3" xfId="7909" xr:uid="{BD05CBDB-790D-48CE-AD90-BE081D2A71BE}"/>
    <cellStyle name="40% - Accent6 7" xfId="4020" xr:uid="{7DA700D9-DCD7-4637-ABE2-14BAF9405C31}"/>
    <cellStyle name="40% - Accent6 7 2" xfId="6249" xr:uid="{0F7FCB5C-05A0-460C-A49E-7F1FB0A4DFE0}"/>
    <cellStyle name="40% - Accent6 7 2 2" xfId="10467" xr:uid="{D1A41BD2-4575-4079-A681-641D26EBD641}"/>
    <cellStyle name="40% - Accent6 7 3" xfId="8322" xr:uid="{FE6C219B-12A1-40DE-BBBF-B7F8321EAF27}"/>
    <cellStyle name="40% - Accent6 8" xfId="4433" xr:uid="{D39FDC7D-E66E-4A2D-8CDA-1D1FA05A2AE1}"/>
    <cellStyle name="40% - Accent6 8 2" xfId="6662" xr:uid="{10292FA3-BA42-455E-B470-0E2D558AB047}"/>
    <cellStyle name="40% - Accent6 8 2 2" xfId="10880" xr:uid="{EB8C9B43-182E-4AA8-9419-CF9C8B4348B9}"/>
    <cellStyle name="40% - Accent6 8 3" xfId="8735" xr:uid="{828554ED-4244-4927-B119-14111AFEF7AE}"/>
    <cellStyle name="40% - Accent6 9" xfId="4846" xr:uid="{816D3275-7DA5-432D-920B-5E8B5EA474AF}"/>
    <cellStyle name="40% - Accent6 9 2" xfId="9148" xr:uid="{15FF92B5-1388-456A-8AD5-FCC8AC0EA893}"/>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5254" xr:uid="{F82B14BF-9997-43BA-95B2-6F502736F868}"/>
    <cellStyle name="Comma 4 2 2 2 10 2" xfId="9473" xr:uid="{E73A6F8F-B4BE-4EE6-A737-DF65857FE5DD}"/>
    <cellStyle name="Comma 4 2 2 2 11" xfId="7090" xr:uid="{18333C16-F36E-4050-84D6-3535125DF87D}"/>
    <cellStyle name="Comma 4 2 2 2 12" xfId="2786" xr:uid="{360D2942-C25E-4E52-B028-44835F378527}"/>
    <cellStyle name="Comma 4 2 2 2 13" xfId="1957" xr:uid="{36CCBB54-933C-47EC-ABE4-32E3A254B26C}"/>
    <cellStyle name="Comma 4 2 2 2 14" xfId="1128" xr:uid="{4798C4FB-4E6D-4C7A-805A-53C0C8E57216}"/>
    <cellStyle name="Comma 4 2 2 2 2" xfId="129" xr:uid="{00000000-0005-0000-0000-0000E0000000}"/>
    <cellStyle name="Comma 4 2 2 2 2 10" xfId="7091" xr:uid="{5B3FA0B7-7E2E-4320-B63F-7FE1CFC4224F}"/>
    <cellStyle name="Comma 4 2 2 2 2 11" xfId="2787" xr:uid="{0034134F-9768-44B6-8EBD-AC14F1240A33}"/>
    <cellStyle name="Comma 4 2 2 2 2 12" xfId="1958" xr:uid="{8592289D-547A-40DF-B8A2-2135C695C4BE}"/>
    <cellStyle name="Comma 4 2 2 2 2 13" xfId="1129" xr:uid="{67E33F15-D68C-4BD7-80AD-09D610C29169}"/>
    <cellStyle name="Comma 4 2 2 2 2 2" xfId="130" xr:uid="{00000000-0005-0000-0000-0000E1000000}"/>
    <cellStyle name="Comma 4 2 2 2 2 2 10" xfId="2788" xr:uid="{EC1B0E6C-D982-4A01-BE9A-4426C23E037F}"/>
    <cellStyle name="Comma 4 2 2 2 2 2 11" xfId="1959" xr:uid="{DCD0B461-E98F-4669-A798-E4A0333FF55C}"/>
    <cellStyle name="Comma 4 2 2 2 2 2 12" xfId="1130" xr:uid="{86629056-4463-4A2C-82A3-25B900A54404}"/>
    <cellStyle name="Comma 4 2 2 2 2 2 2" xfId="676" xr:uid="{00000000-0005-0000-0000-0000E2000000}"/>
    <cellStyle name="Comma 4 2 2 2 2 2 2 2" xfId="5433" xr:uid="{DEB09E0E-6021-4534-A5AD-6ACBC9B8BE3E}"/>
    <cellStyle name="Comma 4 2 2 2 2 2 2 2 2" xfId="9651" xr:uid="{42FD8863-F2D5-4F9E-A60B-B1DE1453299E}"/>
    <cellStyle name="Comma 4 2 2 2 2 2 2 3" xfId="7506" xr:uid="{00952A86-7EA7-4A62-B3BF-4A2560D8A58F}"/>
    <cellStyle name="Comma 4 2 2 2 2 2 2 4" xfId="3202" xr:uid="{C2906242-BCDD-43DC-9B52-11E09297BE4B}"/>
    <cellStyle name="Comma 4 2 2 2 2 2 2 5" xfId="2375" xr:uid="{9A64C98F-6A74-4DE9-9738-1F9EBD30F52C}"/>
    <cellStyle name="Comma 4 2 2 2 2 2 2 6" xfId="1546" xr:uid="{AFB4A7C7-C8B4-4F56-BF44-A5B3631E49DD}"/>
    <cellStyle name="Comma 4 2 2 2 2 2 3" xfId="3617" xr:uid="{525B7EF2-6104-4487-8A38-E226FADC0912}"/>
    <cellStyle name="Comma 4 2 2 2 2 2 3 2" xfId="5846" xr:uid="{8146F909-5B30-4962-AD6C-2B71104E39EE}"/>
    <cellStyle name="Comma 4 2 2 2 2 2 3 2 2" xfId="10064" xr:uid="{4525C541-C6B7-429B-86A6-0DE8B996B1C6}"/>
    <cellStyle name="Comma 4 2 2 2 2 2 3 3" xfId="7919" xr:uid="{40FF326E-3445-4F66-A522-267EDFAF3640}"/>
    <cellStyle name="Comma 4 2 2 2 2 2 4" xfId="4030" xr:uid="{4994D59C-A6E8-407C-BF77-7A225CEBD70B}"/>
    <cellStyle name="Comma 4 2 2 2 2 2 4 2" xfId="6259" xr:uid="{BA17834F-5E6F-4EEF-9920-3E6D5152D567}"/>
    <cellStyle name="Comma 4 2 2 2 2 2 4 2 2" xfId="10477" xr:uid="{9030E331-0FB9-4FDF-B545-2669D06665E7}"/>
    <cellStyle name="Comma 4 2 2 2 2 2 4 3" xfId="8332" xr:uid="{0F565877-4DB7-4CE4-B4D0-F6B6300B4BAB}"/>
    <cellStyle name="Comma 4 2 2 2 2 2 5" xfId="4443" xr:uid="{20400FCE-C78E-4CC6-A847-1C0A82124FEC}"/>
    <cellStyle name="Comma 4 2 2 2 2 2 5 2" xfId="6672" xr:uid="{6CAC2C57-0A91-4A25-968E-B7CA9360842C}"/>
    <cellStyle name="Comma 4 2 2 2 2 2 5 2 2" xfId="10890" xr:uid="{7B1E6B80-2E90-4B51-867A-F9B1DF316DA7}"/>
    <cellStyle name="Comma 4 2 2 2 2 2 5 3" xfId="8745" xr:uid="{F7C30FD6-DF4E-48B3-B676-0B35D1A202EB}"/>
    <cellStyle name="Comma 4 2 2 2 2 2 6" xfId="4878" xr:uid="{D1D9C654-85BC-4857-8F4F-90FBC3679B95}"/>
    <cellStyle name="Comma 4 2 2 2 2 2 6 2" xfId="9158" xr:uid="{FC8EB350-08D2-42C9-B729-045BD1D1D1F9}"/>
    <cellStyle name="Comma 4 2 2 2 2 2 7" xfId="4873" xr:uid="{35C4CFD8-F2D6-4CA9-98D6-3E36774178CC}"/>
    <cellStyle name="Comma 4 2 2 2 2 2 8" xfId="5256" xr:uid="{BB7B1CD2-5431-4910-AD70-FF844EA8C5CE}"/>
    <cellStyle name="Comma 4 2 2 2 2 2 8 2" xfId="9475" xr:uid="{AC8882FD-9710-472F-9AAD-ACB12F824ED4}"/>
    <cellStyle name="Comma 4 2 2 2 2 2 9" xfId="7092" xr:uid="{73B06FE1-D1A2-4B1E-BD6A-B7BEC10631BE}"/>
    <cellStyle name="Comma 4 2 2 2 2 3" xfId="675" xr:uid="{00000000-0005-0000-0000-0000E3000000}"/>
    <cellStyle name="Comma 4 2 2 2 2 3 2" xfId="5432" xr:uid="{9EDE127C-F0B3-42D0-AB1B-0FF6CA33CA4C}"/>
    <cellStyle name="Comma 4 2 2 2 2 3 2 2" xfId="9650" xr:uid="{FB7502E4-CAB3-484E-9C41-E7C9244A4E45}"/>
    <cellStyle name="Comma 4 2 2 2 2 3 3" xfId="7505" xr:uid="{EDDC9B97-2E36-407F-9C24-D15C20C84ACD}"/>
    <cellStyle name="Comma 4 2 2 2 2 3 4" xfId="3201" xr:uid="{FB1366E9-A6CF-4400-96B6-FE34CD005FC9}"/>
    <cellStyle name="Comma 4 2 2 2 2 3 5" xfId="2374" xr:uid="{D0C4AC5B-6E54-4129-BF7A-370DEBE74442}"/>
    <cellStyle name="Comma 4 2 2 2 2 3 6" xfId="1545" xr:uid="{EA16E484-4E6A-4229-BA99-FCBD200F7956}"/>
    <cellStyle name="Comma 4 2 2 2 2 4" xfId="3616" xr:uid="{92DDC014-43E0-49B9-80BE-F70472544E89}"/>
    <cellStyle name="Comma 4 2 2 2 2 4 2" xfId="5845" xr:uid="{412526E6-8F76-446D-A69F-6DA39BF3A8A5}"/>
    <cellStyle name="Comma 4 2 2 2 2 4 2 2" xfId="10063" xr:uid="{A29FE51B-6AE2-4376-821C-7565803D2968}"/>
    <cellStyle name="Comma 4 2 2 2 2 4 3" xfId="7918" xr:uid="{393EEA93-1BC3-4017-B0A5-E414CB17B69C}"/>
    <cellStyle name="Comma 4 2 2 2 2 5" xfId="4029" xr:uid="{82360ECB-43E7-469C-8B32-9DE4A7A4F843}"/>
    <cellStyle name="Comma 4 2 2 2 2 5 2" xfId="6258" xr:uid="{705C0994-CF91-43C0-861E-5CF9568CA469}"/>
    <cellStyle name="Comma 4 2 2 2 2 5 2 2" xfId="10476" xr:uid="{527CD11E-8847-4078-8005-A6D2620A00C3}"/>
    <cellStyle name="Comma 4 2 2 2 2 5 3" xfId="8331" xr:uid="{C70A8B9F-4FA9-47CA-81C7-0E9843EAF02F}"/>
    <cellStyle name="Comma 4 2 2 2 2 6" xfId="4442" xr:uid="{8430E029-6057-4DBE-B3C8-54F34BBE171E}"/>
    <cellStyle name="Comma 4 2 2 2 2 6 2" xfId="6671" xr:uid="{751D042D-F9DE-43FA-9160-664E19848353}"/>
    <cellStyle name="Comma 4 2 2 2 2 6 2 2" xfId="10889" xr:uid="{B3B34854-640A-4E49-83D2-F5237A6D8C24}"/>
    <cellStyle name="Comma 4 2 2 2 2 6 3" xfId="8744" xr:uid="{692089A5-FF45-484B-AE7F-6E855DD065FD}"/>
    <cellStyle name="Comma 4 2 2 2 2 7" xfId="4877" xr:uid="{B48B54B2-8983-414A-8604-9061EBC86AD2}"/>
    <cellStyle name="Comma 4 2 2 2 2 7 2" xfId="9157" xr:uid="{92191B6D-1CB3-48FC-9667-46E1A48793AA}"/>
    <cellStyle name="Comma 4 2 2 2 2 8" xfId="4874" xr:uid="{12B899BC-E05A-4F6B-81D3-1E8285BD8787}"/>
    <cellStyle name="Comma 4 2 2 2 2 9" xfId="5255" xr:uid="{D374C58B-1C79-40AA-A056-5162520B3FED}"/>
    <cellStyle name="Comma 4 2 2 2 2 9 2" xfId="9474" xr:uid="{49AAEA2F-C9C5-4F35-9833-1DE680D98A39}"/>
    <cellStyle name="Comma 4 2 2 2 3" xfId="131" xr:uid="{00000000-0005-0000-0000-0000E4000000}"/>
    <cellStyle name="Comma 4 2 2 2 3 10" xfId="2789" xr:uid="{9CF5B4B8-951B-4708-9A23-DFE4ACD0DD6D}"/>
    <cellStyle name="Comma 4 2 2 2 3 11" xfId="1960" xr:uid="{4D6B6D4A-8544-4901-8B52-4AC6D2C1CA97}"/>
    <cellStyle name="Comma 4 2 2 2 3 12" xfId="1131" xr:uid="{B59F1F27-6A98-443D-9A9A-3B6EECE6A070}"/>
    <cellStyle name="Comma 4 2 2 2 3 2" xfId="677" xr:uid="{00000000-0005-0000-0000-0000E5000000}"/>
    <cellStyle name="Comma 4 2 2 2 3 2 2" xfId="5434" xr:uid="{67E6196E-A278-46D5-8160-5A2F1A3E375B}"/>
    <cellStyle name="Comma 4 2 2 2 3 2 2 2" xfId="9652" xr:uid="{DE923163-3650-4A96-9C08-F484EC92468B}"/>
    <cellStyle name="Comma 4 2 2 2 3 2 3" xfId="7507" xr:uid="{33C61C0E-9368-4843-A47A-EE2FDCD9C6BC}"/>
    <cellStyle name="Comma 4 2 2 2 3 2 4" xfId="3203" xr:uid="{08DBCBD6-55C8-401D-A189-CC7198D55CCA}"/>
    <cellStyle name="Comma 4 2 2 2 3 2 5" xfId="2376" xr:uid="{ADCC6EE2-1ABB-4142-B6AA-3522A1CD930F}"/>
    <cellStyle name="Comma 4 2 2 2 3 2 6" xfId="1547" xr:uid="{F081C784-42C8-41A9-9FF2-986FDF2B5085}"/>
    <cellStyle name="Comma 4 2 2 2 3 3" xfId="3618" xr:uid="{3B7D4CB7-EE53-4E51-9B9D-EF29D947D54C}"/>
    <cellStyle name="Comma 4 2 2 2 3 3 2" xfId="5847" xr:uid="{A54D9880-50CD-4CB8-ADE8-FF266E69D974}"/>
    <cellStyle name="Comma 4 2 2 2 3 3 2 2" xfId="10065" xr:uid="{55D231E7-85F7-4E5E-A4DA-002C48AEA0DA}"/>
    <cellStyle name="Comma 4 2 2 2 3 3 3" xfId="7920" xr:uid="{395D8B40-FA79-4A15-A6D5-768FA9FB9E14}"/>
    <cellStyle name="Comma 4 2 2 2 3 4" xfId="4031" xr:uid="{6D86CB99-703E-48A9-917D-1D649B6F1C19}"/>
    <cellStyle name="Comma 4 2 2 2 3 4 2" xfId="6260" xr:uid="{F6570F1A-B63F-4915-885B-987562D6B932}"/>
    <cellStyle name="Comma 4 2 2 2 3 4 2 2" xfId="10478" xr:uid="{D7BD1B01-6204-42EC-9614-38D6FB9D9715}"/>
    <cellStyle name="Comma 4 2 2 2 3 4 3" xfId="8333" xr:uid="{EDF95012-15E6-4DE5-BAA5-097486D5BD33}"/>
    <cellStyle name="Comma 4 2 2 2 3 5" xfId="4444" xr:uid="{5AEFB184-F060-40D8-BC3C-FD683C3E2E64}"/>
    <cellStyle name="Comma 4 2 2 2 3 5 2" xfId="6673" xr:uid="{36EEC0AC-3E66-48C5-AFEF-92C2B9D13EEF}"/>
    <cellStyle name="Comma 4 2 2 2 3 5 2 2" xfId="10891" xr:uid="{74B15AC1-CB21-44AD-9FFC-412750A3ACBF}"/>
    <cellStyle name="Comma 4 2 2 2 3 5 3" xfId="8746" xr:uid="{0C884513-A494-48F1-B5F2-EB4F3D06D4B4}"/>
    <cellStyle name="Comma 4 2 2 2 3 6" xfId="4879" xr:uid="{DF17B4F1-81A7-4BE8-91C1-0499588E2691}"/>
    <cellStyle name="Comma 4 2 2 2 3 6 2" xfId="9159" xr:uid="{87C97F96-27A5-46ED-B8F1-64CFCA9662FB}"/>
    <cellStyle name="Comma 4 2 2 2 3 7" xfId="4872" xr:uid="{2CD2A0BE-646A-47E1-9587-BA37D6E5ADB2}"/>
    <cellStyle name="Comma 4 2 2 2 3 8" xfId="5257" xr:uid="{83632FE3-41D3-4D02-9604-721D2C30A260}"/>
    <cellStyle name="Comma 4 2 2 2 3 8 2" xfId="9476" xr:uid="{F7F8A135-BD53-4637-A826-9CC9B04DA378}"/>
    <cellStyle name="Comma 4 2 2 2 3 9" xfId="7093" xr:uid="{7AFFE2FF-3987-4D2B-B371-7167EE5BED63}"/>
    <cellStyle name="Comma 4 2 2 2 4" xfId="674" xr:uid="{00000000-0005-0000-0000-0000E6000000}"/>
    <cellStyle name="Comma 4 2 2 2 4 2" xfId="5431" xr:uid="{7F2879AF-DEC6-4931-9227-82862A523B96}"/>
    <cellStyle name="Comma 4 2 2 2 4 2 2" xfId="9649" xr:uid="{C2D6ED94-1E85-4A54-801F-E8057BCBA945}"/>
    <cellStyle name="Comma 4 2 2 2 4 3" xfId="7504" xr:uid="{6CAB4CE8-0456-43A4-B9B6-89867F93C3ED}"/>
    <cellStyle name="Comma 4 2 2 2 4 4" xfId="3200" xr:uid="{7A3371DF-74FB-4B62-82E9-8147C9C098C1}"/>
    <cellStyle name="Comma 4 2 2 2 4 5" xfId="2373" xr:uid="{94E5835A-78B0-4D9F-8A97-17718A8FDB5D}"/>
    <cellStyle name="Comma 4 2 2 2 4 6" xfId="1544" xr:uid="{6D859467-A738-49ED-9F46-0BA60FA2F855}"/>
    <cellStyle name="Comma 4 2 2 2 5" xfId="3615" xr:uid="{6207C877-90C7-4422-89C5-7D1EB2E540AA}"/>
    <cellStyle name="Comma 4 2 2 2 5 2" xfId="5844" xr:uid="{0BE48D7C-4E89-44D6-A794-935104D36DFB}"/>
    <cellStyle name="Comma 4 2 2 2 5 2 2" xfId="10062" xr:uid="{3006ED65-D50F-47CC-BC97-2328879DD29A}"/>
    <cellStyle name="Comma 4 2 2 2 5 3" xfId="7917" xr:uid="{269EDC1F-009B-482C-A4C6-BA9258930056}"/>
    <cellStyle name="Comma 4 2 2 2 6" xfId="4028" xr:uid="{46FAD1AC-4CAD-48A1-B458-2BDD7F4651D3}"/>
    <cellStyle name="Comma 4 2 2 2 6 2" xfId="6257" xr:uid="{70E4B74F-9164-4C43-BC1A-8EE308D41747}"/>
    <cellStyle name="Comma 4 2 2 2 6 2 2" xfId="10475" xr:uid="{C01B3FB1-96C9-4D02-A01E-E0AB2F093CE9}"/>
    <cellStyle name="Comma 4 2 2 2 6 3" xfId="8330" xr:uid="{31CC49A1-6838-416B-8C5D-E32DF5F828C4}"/>
    <cellStyle name="Comma 4 2 2 2 7" xfId="4441" xr:uid="{7B958828-AE44-4E21-B969-817A3CCC535E}"/>
    <cellStyle name="Comma 4 2 2 2 7 2" xfId="6670" xr:uid="{23FA1647-2AC0-4B73-898D-BC3C3BAF9185}"/>
    <cellStyle name="Comma 4 2 2 2 7 2 2" xfId="10888" xr:uid="{7C9BD32A-82C5-4693-9BCC-450D67B69E6C}"/>
    <cellStyle name="Comma 4 2 2 2 7 3" xfId="8743" xr:uid="{10E74512-DE5B-439E-9094-314602D32975}"/>
    <cellStyle name="Comma 4 2 2 2 8" xfId="4876" xr:uid="{2DB6E6C4-1832-417A-8325-C87F90BB2704}"/>
    <cellStyle name="Comma 4 2 2 2 8 2" xfId="9156" xr:uid="{3D27D015-5414-4392-BE53-568A1D9A4970}"/>
    <cellStyle name="Comma 4 2 2 2 9" xfId="4875" xr:uid="{353C2766-BC6F-460A-B9F7-1155693387CA}"/>
    <cellStyle name="Comma 4 2 2 3" xfId="132" xr:uid="{00000000-0005-0000-0000-0000E7000000}"/>
    <cellStyle name="Comma 4 2 2 3 10" xfId="7094" xr:uid="{D5A74AF1-4DB7-4596-BA69-D6FA1DEBC886}"/>
    <cellStyle name="Comma 4 2 2 3 11" xfId="2790" xr:uid="{C1319AD5-1899-44F2-B317-386A301F1AB2}"/>
    <cellStyle name="Comma 4 2 2 3 12" xfId="1961" xr:uid="{94C485CE-3FDC-407B-ACE5-DAAA05A5526C}"/>
    <cellStyle name="Comma 4 2 2 3 13" xfId="1132" xr:uid="{06422926-DA64-460A-B89E-CD8BC451FF74}"/>
    <cellStyle name="Comma 4 2 2 3 2" xfId="133" xr:uid="{00000000-0005-0000-0000-0000E8000000}"/>
    <cellStyle name="Comma 4 2 2 3 2 10" xfId="2791" xr:uid="{4758E1B0-6937-4E9B-B0C6-AAD79EEB113C}"/>
    <cellStyle name="Comma 4 2 2 3 2 11" xfId="1962" xr:uid="{FBC016EE-774E-4665-8811-0261AD7F467C}"/>
    <cellStyle name="Comma 4 2 2 3 2 12" xfId="1133" xr:uid="{9454E25F-8612-44E7-8B35-4E005B132547}"/>
    <cellStyle name="Comma 4 2 2 3 2 2" xfId="679" xr:uid="{00000000-0005-0000-0000-0000E9000000}"/>
    <cellStyle name="Comma 4 2 2 3 2 2 2" xfId="5436" xr:uid="{5A6D4224-73B5-4970-AE4C-B9C227F110BD}"/>
    <cellStyle name="Comma 4 2 2 3 2 2 2 2" xfId="9654" xr:uid="{A8D42FDE-4D97-4AC8-8669-ECFF306A4ACC}"/>
    <cellStyle name="Comma 4 2 2 3 2 2 3" xfId="7509" xr:uid="{F8971F03-8B21-44DA-B25B-FB87368689F5}"/>
    <cellStyle name="Comma 4 2 2 3 2 2 4" xfId="3205" xr:uid="{CCD976FB-EE87-40EA-B630-62DC85EE52FD}"/>
    <cellStyle name="Comma 4 2 2 3 2 2 5" xfId="2378" xr:uid="{C4386DAD-E493-49CD-BF43-CA183DD2FD42}"/>
    <cellStyle name="Comma 4 2 2 3 2 2 6" xfId="1549" xr:uid="{38929D56-C88E-4CD3-9EF3-D962EB31365D}"/>
    <cellStyle name="Comma 4 2 2 3 2 3" xfId="3620" xr:uid="{8A136618-39C6-4F29-8B65-88F07BCE269A}"/>
    <cellStyle name="Comma 4 2 2 3 2 3 2" xfId="5849" xr:uid="{77EF4154-1468-4BCB-905A-795B650F3CE1}"/>
    <cellStyle name="Comma 4 2 2 3 2 3 2 2" xfId="10067" xr:uid="{A3A6F894-8E1A-42E6-92CA-5436BC7827BB}"/>
    <cellStyle name="Comma 4 2 2 3 2 3 3" xfId="7922" xr:uid="{77D9C5A3-E541-4CD3-B7AA-92C20F59B26F}"/>
    <cellStyle name="Comma 4 2 2 3 2 4" xfId="4033" xr:uid="{DBCBC8EA-B7EB-40C3-993A-30109EEA28CC}"/>
    <cellStyle name="Comma 4 2 2 3 2 4 2" xfId="6262" xr:uid="{1378891E-5D29-40CF-ACDA-B534AD7831A5}"/>
    <cellStyle name="Comma 4 2 2 3 2 4 2 2" xfId="10480" xr:uid="{B06F606B-2F65-4F62-ADF7-AB2686766FFE}"/>
    <cellStyle name="Comma 4 2 2 3 2 4 3" xfId="8335" xr:uid="{289CAF4C-CB07-4C70-8692-C325627438BE}"/>
    <cellStyle name="Comma 4 2 2 3 2 5" xfId="4446" xr:uid="{C42756A0-0A90-449A-9E17-87ED02CE4187}"/>
    <cellStyle name="Comma 4 2 2 3 2 5 2" xfId="6675" xr:uid="{3B6742D4-FA3E-4BE4-A033-33721FA8422B}"/>
    <cellStyle name="Comma 4 2 2 3 2 5 2 2" xfId="10893" xr:uid="{AA81B04E-0E7F-4DB5-ACE7-26D5E61A4D58}"/>
    <cellStyle name="Comma 4 2 2 3 2 5 3" xfId="8748" xr:uid="{3BFF2F86-45F5-46DB-BE0D-67FEA1396BB3}"/>
    <cellStyle name="Comma 4 2 2 3 2 6" xfId="4881" xr:uid="{C9F83508-C673-4C19-B4BF-711F1506FD7D}"/>
    <cellStyle name="Comma 4 2 2 3 2 6 2" xfId="9161" xr:uid="{50E1A936-45AF-401E-A9BC-DCEE00F48399}"/>
    <cellStyle name="Comma 4 2 2 3 2 7" xfId="4870" xr:uid="{F12619F5-698C-43FC-8EC4-81E1DDF47A72}"/>
    <cellStyle name="Comma 4 2 2 3 2 8" xfId="5259" xr:uid="{901F4F4B-D656-48A0-8270-92D558F6E6C6}"/>
    <cellStyle name="Comma 4 2 2 3 2 8 2" xfId="9478" xr:uid="{58B57469-1CEA-4594-9D8D-6C34A404E7E0}"/>
    <cellStyle name="Comma 4 2 2 3 2 9" xfId="7095" xr:uid="{2D7E6EAB-C6E7-425D-B828-9FF08D141BDD}"/>
    <cellStyle name="Comma 4 2 2 3 3" xfId="678" xr:uid="{00000000-0005-0000-0000-0000EA000000}"/>
    <cellStyle name="Comma 4 2 2 3 3 2" xfId="5435" xr:uid="{1E619058-61F9-4807-B9D0-EC8BDC5DCFFF}"/>
    <cellStyle name="Comma 4 2 2 3 3 2 2" xfId="9653" xr:uid="{7367BB40-5DC4-4858-93CE-3909F338FAF1}"/>
    <cellStyle name="Comma 4 2 2 3 3 3" xfId="7508" xr:uid="{9E15849D-B5BC-41E3-8CF1-6C07BDB830A3}"/>
    <cellStyle name="Comma 4 2 2 3 3 4" xfId="3204" xr:uid="{B6F49C06-82A2-4BD7-9227-2770AC5BE446}"/>
    <cellStyle name="Comma 4 2 2 3 3 5" xfId="2377" xr:uid="{A6C15638-8B1F-4E23-98EA-E12585C1A8C8}"/>
    <cellStyle name="Comma 4 2 2 3 3 6" xfId="1548" xr:uid="{BC5AC7DA-02D0-478F-8405-945722147C7C}"/>
    <cellStyle name="Comma 4 2 2 3 4" xfId="3619" xr:uid="{23F5C9F0-10A4-492C-97FA-29788F9D98B0}"/>
    <cellStyle name="Comma 4 2 2 3 4 2" xfId="5848" xr:uid="{D497F21E-3215-4631-8E31-0A43F19A86F5}"/>
    <cellStyle name="Comma 4 2 2 3 4 2 2" xfId="10066" xr:uid="{6E543F8F-B7BB-4240-8CFC-5CE54BAB31DE}"/>
    <cellStyle name="Comma 4 2 2 3 4 3" xfId="7921" xr:uid="{F958B28F-5DBE-4160-A957-194909931E3D}"/>
    <cellStyle name="Comma 4 2 2 3 5" xfId="4032" xr:uid="{5534A63A-2698-4D64-A5F5-7DD2529FFC1F}"/>
    <cellStyle name="Comma 4 2 2 3 5 2" xfId="6261" xr:uid="{4A78BA96-16E7-4EC8-970B-8E3186136629}"/>
    <cellStyle name="Comma 4 2 2 3 5 2 2" xfId="10479" xr:uid="{77D8E985-0A2B-4DEB-9CC6-E24216E28536}"/>
    <cellStyle name="Comma 4 2 2 3 5 3" xfId="8334" xr:uid="{6052B9E4-9E9A-4DDC-852C-AD73766778BE}"/>
    <cellStyle name="Comma 4 2 2 3 6" xfId="4445" xr:uid="{0E754F92-B024-47A6-AE69-14686F927F19}"/>
    <cellStyle name="Comma 4 2 2 3 6 2" xfId="6674" xr:uid="{EEB2D31C-3D5E-48CE-BE88-D5EE7C7D430C}"/>
    <cellStyle name="Comma 4 2 2 3 6 2 2" xfId="10892" xr:uid="{2999B4A8-1A63-4695-808D-36683DC93476}"/>
    <cellStyle name="Comma 4 2 2 3 6 3" xfId="8747" xr:uid="{9D5B7A7D-046B-4DE5-9035-412AF844DFB1}"/>
    <cellStyle name="Comma 4 2 2 3 7" xfId="4880" xr:uid="{2348625F-0A62-4359-B3B6-FFCB1820BEBA}"/>
    <cellStyle name="Comma 4 2 2 3 7 2" xfId="9160" xr:uid="{A73926FF-B93E-4B0E-B9B1-63A5DCB1A3BA}"/>
    <cellStyle name="Comma 4 2 2 3 8" xfId="4871" xr:uid="{967DDE79-0EC6-4859-9C28-14E150113E19}"/>
    <cellStyle name="Comma 4 2 2 3 9" xfId="5258" xr:uid="{16767149-6F9E-4EFC-8F63-1AB65E790F70}"/>
    <cellStyle name="Comma 4 2 2 3 9 2" xfId="9477" xr:uid="{E29B52EB-B4E3-4E38-A753-BE94BA12E224}"/>
    <cellStyle name="Comma 4 2 2 4" xfId="134" xr:uid="{00000000-0005-0000-0000-0000EB000000}"/>
    <cellStyle name="Comma 4 2 2 4 10" xfId="2792" xr:uid="{66ED0CAC-31F3-42CD-9384-3140DD9F0951}"/>
    <cellStyle name="Comma 4 2 2 4 11" xfId="1963" xr:uid="{42C88A0A-F948-422E-9975-17F20E3D4F6E}"/>
    <cellStyle name="Comma 4 2 2 4 12" xfId="1134" xr:uid="{1B9A4B6E-5BCC-4789-912E-24C095D65D29}"/>
    <cellStyle name="Comma 4 2 2 4 2" xfId="680" xr:uid="{00000000-0005-0000-0000-0000EC000000}"/>
    <cellStyle name="Comma 4 2 2 4 2 2" xfId="5437" xr:uid="{B2A5C23A-9324-492F-BDB6-AC6C82F396D5}"/>
    <cellStyle name="Comma 4 2 2 4 2 2 2" xfId="9655" xr:uid="{0E051995-FF6D-4B35-8D6A-C4689DE98489}"/>
    <cellStyle name="Comma 4 2 2 4 2 3" xfId="7510" xr:uid="{3497E183-4D2D-4122-8327-1E8537CF58C6}"/>
    <cellStyle name="Comma 4 2 2 4 2 4" xfId="3206" xr:uid="{8E20A5FC-8E5D-411A-933A-C8B38DCCC2F0}"/>
    <cellStyle name="Comma 4 2 2 4 2 5" xfId="2379" xr:uid="{618D1481-DD1F-481D-9A47-256CAC42E26E}"/>
    <cellStyle name="Comma 4 2 2 4 2 6" xfId="1550" xr:uid="{D85B6C30-8E78-4237-849B-7B3BDE0CB849}"/>
    <cellStyle name="Comma 4 2 2 4 3" xfId="3621" xr:uid="{3E67690D-768E-47AF-88B9-D5A57C5B9C38}"/>
    <cellStyle name="Comma 4 2 2 4 3 2" xfId="5850" xr:uid="{4777C232-3810-4926-8C98-1F3371DDE5E4}"/>
    <cellStyle name="Comma 4 2 2 4 3 2 2" xfId="10068" xr:uid="{661FB012-CB78-4F5E-AFE1-B1480BA6DB4B}"/>
    <cellStyle name="Comma 4 2 2 4 3 3" xfId="7923" xr:uid="{7EC09834-85C4-4B8E-825F-5C5AC46005D6}"/>
    <cellStyle name="Comma 4 2 2 4 4" xfId="4034" xr:uid="{2FBB274C-149D-42F7-AC5D-5BEC4BCB8CB7}"/>
    <cellStyle name="Comma 4 2 2 4 4 2" xfId="6263" xr:uid="{18844C8B-8FED-4DDF-A178-68892762A749}"/>
    <cellStyle name="Comma 4 2 2 4 4 2 2" xfId="10481" xr:uid="{D6F13F6C-B783-4945-A1A5-CDAD7F5E6360}"/>
    <cellStyle name="Comma 4 2 2 4 4 3" xfId="8336" xr:uid="{36613B85-B4B9-432B-8D96-A9EC056FAE26}"/>
    <cellStyle name="Comma 4 2 2 4 5" xfId="4447" xr:uid="{C6F95736-4AE1-4F81-B767-45B1BD8E0E22}"/>
    <cellStyle name="Comma 4 2 2 4 5 2" xfId="6676" xr:uid="{1C273749-2E4A-4D92-BC61-ABCEBE09129F}"/>
    <cellStyle name="Comma 4 2 2 4 5 2 2" xfId="10894" xr:uid="{CCD67CD5-56A4-4ED1-BFCD-57A9EC1B4376}"/>
    <cellStyle name="Comma 4 2 2 4 5 3" xfId="8749" xr:uid="{C2C38275-C6F8-4AE8-B39E-E04FE29FC410}"/>
    <cellStyle name="Comma 4 2 2 4 6" xfId="4882" xr:uid="{9155CA1E-5DF4-4319-961E-8790EFFF947E}"/>
    <cellStyle name="Comma 4 2 2 4 6 2" xfId="9162" xr:uid="{7CB1A223-73BB-4D67-8610-034A96E4364F}"/>
    <cellStyle name="Comma 4 2 2 4 7" xfId="4869" xr:uid="{6103E6F5-C95D-471E-9907-6CA29AE6E17D}"/>
    <cellStyle name="Comma 4 2 2 4 8" xfId="5260" xr:uid="{4AFF1701-C7C7-4AC3-AFAC-E0EA4735B16B}"/>
    <cellStyle name="Comma 4 2 2 4 8 2" xfId="9479" xr:uid="{DAFC34DC-291C-4D8D-95CC-DDEF44A65D69}"/>
    <cellStyle name="Comma 4 2 2 4 9" xfId="7096" xr:uid="{22A0C30E-A7F6-46EB-806A-876E20F7A8AE}"/>
    <cellStyle name="Comma 4 2 2 5" xfId="135" xr:uid="{00000000-0005-0000-0000-0000ED000000}"/>
    <cellStyle name="Comma 4 2 2 5 10" xfId="2793" xr:uid="{44E2327A-E9E0-4264-90A8-C0EC2A2ABAA7}"/>
    <cellStyle name="Comma 4 2 2 5 11" xfId="1964" xr:uid="{67C87CA6-B3C1-4D14-9B00-3541DA9F5EC8}"/>
    <cellStyle name="Comma 4 2 2 5 12" xfId="1135" xr:uid="{97C2AEB9-CF24-4969-A6A0-D34EE72F4F40}"/>
    <cellStyle name="Comma 4 2 2 5 2" xfId="681" xr:uid="{00000000-0005-0000-0000-0000EE000000}"/>
    <cellStyle name="Comma 4 2 2 5 2 2" xfId="5438" xr:uid="{748E6908-0D16-4368-A85E-F3E2B78E7CA6}"/>
    <cellStyle name="Comma 4 2 2 5 2 2 2" xfId="9656" xr:uid="{A3C3269E-7EC3-4B68-BBD8-09C1CA04684C}"/>
    <cellStyle name="Comma 4 2 2 5 2 3" xfId="7511" xr:uid="{07A7D418-7912-4EC3-83B5-C04D4D9D6D6A}"/>
    <cellStyle name="Comma 4 2 2 5 2 4" xfId="3207" xr:uid="{ABF07098-5DB4-486C-947C-CFC29F162C97}"/>
    <cellStyle name="Comma 4 2 2 5 2 5" xfId="2380" xr:uid="{EF4A8AC4-7048-4836-9702-6FF3A5BEF166}"/>
    <cellStyle name="Comma 4 2 2 5 2 6" xfId="1551" xr:uid="{30FF3279-9AE7-49E6-910C-1D41DFDAC79B}"/>
    <cellStyle name="Comma 4 2 2 5 3" xfId="3622" xr:uid="{6C0F54BA-204F-4ACD-B6E5-4613B863BB56}"/>
    <cellStyle name="Comma 4 2 2 5 3 2" xfId="5851" xr:uid="{5C901097-3EDB-4EC5-ABA9-AED51D8F80C2}"/>
    <cellStyle name="Comma 4 2 2 5 3 2 2" xfId="10069" xr:uid="{1AC33496-0205-44A6-A44A-27E4DA34A089}"/>
    <cellStyle name="Comma 4 2 2 5 3 3" xfId="7924" xr:uid="{898A3AC1-41E7-4EBC-8B01-D31EFF83A0CA}"/>
    <cellStyle name="Comma 4 2 2 5 4" xfId="4035" xr:uid="{689F4C65-2C36-47C7-A754-CE3A08CC07EC}"/>
    <cellStyle name="Comma 4 2 2 5 4 2" xfId="6264" xr:uid="{7D62751E-A758-4040-B7FD-E9488F3B58EA}"/>
    <cellStyle name="Comma 4 2 2 5 4 2 2" xfId="10482" xr:uid="{81E9FF7C-83FE-4BDE-B4E9-91CD30939FD2}"/>
    <cellStyle name="Comma 4 2 2 5 4 3" xfId="8337" xr:uid="{ACDC0511-2540-4874-9376-879CBADF56A0}"/>
    <cellStyle name="Comma 4 2 2 5 5" xfId="4448" xr:uid="{7A269900-48FB-4B5F-A272-CFA35B8FB5E2}"/>
    <cellStyle name="Comma 4 2 2 5 5 2" xfId="6677" xr:uid="{332DB215-C363-409E-9FA4-3BA7A701DBBB}"/>
    <cellStyle name="Comma 4 2 2 5 5 2 2" xfId="10895" xr:uid="{A894EA0E-132B-42A7-8B71-91B14480DF60}"/>
    <cellStyle name="Comma 4 2 2 5 5 3" xfId="8750" xr:uid="{F7B5BCEA-511E-46A3-90DB-B847AFD8D1AD}"/>
    <cellStyle name="Comma 4 2 2 5 6" xfId="4883" xr:uid="{F736D5AE-D213-45B3-A6F4-D23A17D3F5B4}"/>
    <cellStyle name="Comma 4 2 2 5 6 2" xfId="9163" xr:uid="{4225F31F-EBDD-40CC-BCBB-A5AB4C5448F1}"/>
    <cellStyle name="Comma 4 2 2 5 7" xfId="4868" xr:uid="{C9420961-A237-4C7A-AFF5-D67CD475C6CE}"/>
    <cellStyle name="Comma 4 2 2 5 8" xfId="5261" xr:uid="{72F9186E-D1CD-4349-B9DC-7E013D27573E}"/>
    <cellStyle name="Comma 4 2 2 5 8 2" xfId="9480" xr:uid="{3F176BB1-F922-4930-ACD7-67E91D222F85}"/>
    <cellStyle name="Comma 4 2 2 5 9" xfId="7097" xr:uid="{6C966369-ED4B-4D08-9956-5F4B99AE341A}"/>
    <cellStyle name="Comma 4 2 3" xfId="136" xr:uid="{00000000-0005-0000-0000-0000EF000000}"/>
    <cellStyle name="Comma 4 2 3 10" xfId="5262" xr:uid="{89B1BFBA-6158-4676-8CD1-94B556E7F1C9}"/>
    <cellStyle name="Comma 4 2 3 10 2" xfId="9481" xr:uid="{9514D116-6D9A-4AEC-BAB5-5A55E212BD6F}"/>
    <cellStyle name="Comma 4 2 3 11" xfId="7098" xr:uid="{4F668042-15A6-4068-983B-D46D2CD3859A}"/>
    <cellStyle name="Comma 4 2 3 12" xfId="2794" xr:uid="{A689EA60-279E-4AFA-AAEF-91BDA0F8160C}"/>
    <cellStyle name="Comma 4 2 3 13" xfId="1965" xr:uid="{D51E80E6-AFC3-417F-A110-32E2A1719C17}"/>
    <cellStyle name="Comma 4 2 3 14" xfId="1136" xr:uid="{E0AB5407-712B-45A4-9732-781817BD91FF}"/>
    <cellStyle name="Comma 4 2 3 2" xfId="137" xr:uid="{00000000-0005-0000-0000-0000F0000000}"/>
    <cellStyle name="Comma 4 2 3 2 10" xfId="7099" xr:uid="{5E2C26CD-12B0-4AC1-A29E-159A26474D16}"/>
    <cellStyle name="Comma 4 2 3 2 11" xfId="2795" xr:uid="{DC73A3CB-122E-4696-948F-D335ECD7668A}"/>
    <cellStyle name="Comma 4 2 3 2 12" xfId="1966" xr:uid="{A48DEF0B-F1D0-453C-92D8-301163E6D88F}"/>
    <cellStyle name="Comma 4 2 3 2 13" xfId="1137" xr:uid="{4DBB0345-1F56-4DBD-8082-DDF22278BFBE}"/>
    <cellStyle name="Comma 4 2 3 2 2" xfId="138" xr:uid="{00000000-0005-0000-0000-0000F1000000}"/>
    <cellStyle name="Comma 4 2 3 2 2 10" xfId="2796" xr:uid="{32A3BC8C-4109-4919-AFAA-E5BB76729616}"/>
    <cellStyle name="Comma 4 2 3 2 2 11" xfId="1967" xr:uid="{FB53E5B8-EF93-440E-B6AF-1B84FC931789}"/>
    <cellStyle name="Comma 4 2 3 2 2 12" xfId="1138" xr:uid="{E31F1479-E219-4C06-94E0-4EC92A23B315}"/>
    <cellStyle name="Comma 4 2 3 2 2 2" xfId="684" xr:uid="{00000000-0005-0000-0000-0000F2000000}"/>
    <cellStyle name="Comma 4 2 3 2 2 2 2" xfId="5441" xr:uid="{E582C700-4BB9-4385-A7DA-E4B28C32852E}"/>
    <cellStyle name="Comma 4 2 3 2 2 2 2 2" xfId="9659" xr:uid="{6994BE04-0C97-499F-AC8E-D76F83ABDD48}"/>
    <cellStyle name="Comma 4 2 3 2 2 2 3" xfId="7514" xr:uid="{0D49E4A6-831B-4C48-A1AA-1F21B7CD74DB}"/>
    <cellStyle name="Comma 4 2 3 2 2 2 4" xfId="3210" xr:uid="{A65469C4-975D-49B2-A635-76FEA86C7469}"/>
    <cellStyle name="Comma 4 2 3 2 2 2 5" xfId="2383" xr:uid="{ECF5A03C-1FF1-4CE9-8D27-CBE1A231B1EB}"/>
    <cellStyle name="Comma 4 2 3 2 2 2 6" xfId="1554" xr:uid="{9181D836-D099-4A33-9E7F-0ECF16FD9042}"/>
    <cellStyle name="Comma 4 2 3 2 2 3" xfId="3625" xr:uid="{48B4E332-C31D-40BC-84DC-D614668F808D}"/>
    <cellStyle name="Comma 4 2 3 2 2 3 2" xfId="5854" xr:uid="{4ACA6907-4614-4B68-89AB-4F84A9F27E9B}"/>
    <cellStyle name="Comma 4 2 3 2 2 3 2 2" xfId="10072" xr:uid="{B52A8C6D-6DC5-4217-857B-F61C034389D0}"/>
    <cellStyle name="Comma 4 2 3 2 2 3 3" xfId="7927" xr:uid="{F23742BB-498D-4A17-BDE5-ADE2EB038724}"/>
    <cellStyle name="Comma 4 2 3 2 2 4" xfId="4038" xr:uid="{91E55FB5-3CC9-42D0-86F0-DE95485F8D93}"/>
    <cellStyle name="Comma 4 2 3 2 2 4 2" xfId="6267" xr:uid="{CD31E105-05EC-4998-B298-FF569A270837}"/>
    <cellStyle name="Comma 4 2 3 2 2 4 2 2" xfId="10485" xr:uid="{5D9EB528-97AE-483E-817A-2388EDE554EA}"/>
    <cellStyle name="Comma 4 2 3 2 2 4 3" xfId="8340" xr:uid="{34C7132A-C969-4824-8D30-FD9ECDBD729A}"/>
    <cellStyle name="Comma 4 2 3 2 2 5" xfId="4451" xr:uid="{02F7D417-B51A-4580-A4E1-CDFA6FF024C4}"/>
    <cellStyle name="Comma 4 2 3 2 2 5 2" xfId="6680" xr:uid="{4759B2EE-F499-4F82-ACB0-11BA65F326D4}"/>
    <cellStyle name="Comma 4 2 3 2 2 5 2 2" xfId="10898" xr:uid="{908A9AAD-7B79-45DA-86F7-C6AD73A2CD00}"/>
    <cellStyle name="Comma 4 2 3 2 2 5 3" xfId="8753" xr:uid="{A6A08A65-FF74-4E0E-A26F-733A7EACC698}"/>
    <cellStyle name="Comma 4 2 3 2 2 6" xfId="4886" xr:uid="{0DC3AF48-EACB-4142-A731-0AF9DFE2B853}"/>
    <cellStyle name="Comma 4 2 3 2 2 6 2" xfId="9166" xr:uid="{CC5CDA64-3BA2-4E69-AAA3-CF7E5B9853A5}"/>
    <cellStyle name="Comma 4 2 3 2 2 7" xfId="4865" xr:uid="{9A956360-7DEA-4F07-8D61-1FF6D5E66B90}"/>
    <cellStyle name="Comma 4 2 3 2 2 8" xfId="5264" xr:uid="{3250C963-F87F-4794-B8B7-E4401266C437}"/>
    <cellStyle name="Comma 4 2 3 2 2 8 2" xfId="9483" xr:uid="{C80F3C8F-C3F8-4544-AB5D-5161D19DE242}"/>
    <cellStyle name="Comma 4 2 3 2 2 9" xfId="7100" xr:uid="{CAFF9C5F-66DF-4506-BB28-A14254AC273A}"/>
    <cellStyle name="Comma 4 2 3 2 3" xfId="683" xr:uid="{00000000-0005-0000-0000-0000F3000000}"/>
    <cellStyle name="Comma 4 2 3 2 3 2" xfId="5440" xr:uid="{B46DEAA2-9756-48F5-B678-4E3C199BD154}"/>
    <cellStyle name="Comma 4 2 3 2 3 2 2" xfId="9658" xr:uid="{62E224C7-A7FF-4DC4-AC21-1893463160ED}"/>
    <cellStyle name="Comma 4 2 3 2 3 3" xfId="7513" xr:uid="{379A713C-C5CE-4B2A-A782-52E51F24B901}"/>
    <cellStyle name="Comma 4 2 3 2 3 4" xfId="3209" xr:uid="{53F09C23-0E5C-4519-9D0C-0B1D181D4FF5}"/>
    <cellStyle name="Comma 4 2 3 2 3 5" xfId="2382" xr:uid="{7F1A2171-8AEB-4C81-816A-7B36D6986AA3}"/>
    <cellStyle name="Comma 4 2 3 2 3 6" xfId="1553" xr:uid="{159F22EA-1CF5-442C-B256-6B4D5FAA5819}"/>
    <cellStyle name="Comma 4 2 3 2 4" xfId="3624" xr:uid="{9B3AB0D7-B899-47F4-A8A0-973B60CDBD19}"/>
    <cellStyle name="Comma 4 2 3 2 4 2" xfId="5853" xr:uid="{F0A12B2F-2E43-4880-9418-756CCD165179}"/>
    <cellStyle name="Comma 4 2 3 2 4 2 2" xfId="10071" xr:uid="{E774E6A4-119F-4813-8D49-E8C333EFCBB5}"/>
    <cellStyle name="Comma 4 2 3 2 4 3" xfId="7926" xr:uid="{8302BB01-3D29-4459-9F9D-B6D814597B89}"/>
    <cellStyle name="Comma 4 2 3 2 5" xfId="4037" xr:uid="{0A4214F1-0AC2-47B1-9934-A1F65443D20F}"/>
    <cellStyle name="Comma 4 2 3 2 5 2" xfId="6266" xr:uid="{2EFE4241-71F6-491E-ACDD-3C592DCE2A08}"/>
    <cellStyle name="Comma 4 2 3 2 5 2 2" xfId="10484" xr:uid="{972B7CA0-B676-45B1-AFB2-315328560B81}"/>
    <cellStyle name="Comma 4 2 3 2 5 3" xfId="8339" xr:uid="{FE0365E6-3EA7-4DA2-818D-3088C9D99011}"/>
    <cellStyle name="Comma 4 2 3 2 6" xfId="4450" xr:uid="{D5B8D7E9-4848-4E6D-900E-11242DC60F75}"/>
    <cellStyle name="Comma 4 2 3 2 6 2" xfId="6679" xr:uid="{7C323AB1-638D-48EE-BA96-A9B1F9425CFF}"/>
    <cellStyle name="Comma 4 2 3 2 6 2 2" xfId="10897" xr:uid="{0909AA85-CB0C-4C9E-86ED-965B955FBE28}"/>
    <cellStyle name="Comma 4 2 3 2 6 3" xfId="8752" xr:uid="{5ECD7E1F-94A0-4E8B-9F4B-5A8027AB52E0}"/>
    <cellStyle name="Comma 4 2 3 2 7" xfId="4885" xr:uid="{EA286E4A-3104-4560-843B-6AA5F4C25586}"/>
    <cellStyle name="Comma 4 2 3 2 7 2" xfId="9165" xr:uid="{FAF188AC-F097-43FB-9037-142CB1466A5A}"/>
    <cellStyle name="Comma 4 2 3 2 8" xfId="4866" xr:uid="{B42C485F-8214-4259-95AC-F5DB6C0DEDAA}"/>
    <cellStyle name="Comma 4 2 3 2 9" xfId="5263" xr:uid="{1E5E36B8-ED16-4492-8151-99C50FC57178}"/>
    <cellStyle name="Comma 4 2 3 2 9 2" xfId="9482" xr:uid="{571B1F31-D582-4726-8C41-4FE179DDAF41}"/>
    <cellStyle name="Comma 4 2 3 3" xfId="139" xr:uid="{00000000-0005-0000-0000-0000F4000000}"/>
    <cellStyle name="Comma 4 2 3 3 10" xfId="2797" xr:uid="{A415ED9A-906E-4708-BB99-2F7000D754B8}"/>
    <cellStyle name="Comma 4 2 3 3 11" xfId="1968" xr:uid="{1310CF11-1805-490C-9006-BB0DE76DDD71}"/>
    <cellStyle name="Comma 4 2 3 3 12" xfId="1139" xr:uid="{F7167BCD-C7BE-429E-B4DE-E6D1077453E6}"/>
    <cellStyle name="Comma 4 2 3 3 2" xfId="685" xr:uid="{00000000-0005-0000-0000-0000F5000000}"/>
    <cellStyle name="Comma 4 2 3 3 2 2" xfId="5442" xr:uid="{1ACC3BB2-141A-4986-96D3-A620C23EF7B5}"/>
    <cellStyle name="Comma 4 2 3 3 2 2 2" xfId="9660" xr:uid="{0324700B-B794-4BE7-BA65-0418E581F9B3}"/>
    <cellStyle name="Comma 4 2 3 3 2 3" xfId="7515" xr:uid="{B75E0AB9-288E-41E6-8F8A-281003D0B796}"/>
    <cellStyle name="Comma 4 2 3 3 2 4" xfId="3211" xr:uid="{61316463-3710-4787-AB93-B86F1FF0E026}"/>
    <cellStyle name="Comma 4 2 3 3 2 5" xfId="2384" xr:uid="{439A1E49-5FAD-4FA6-9B9C-BB4BE048D16D}"/>
    <cellStyle name="Comma 4 2 3 3 2 6" xfId="1555" xr:uid="{EECCB0CC-E8C4-4F3D-8ECC-4490F7DD0EBD}"/>
    <cellStyle name="Comma 4 2 3 3 3" xfId="3626" xr:uid="{84B514B5-0DA6-4AC3-B790-58B991A9BEDB}"/>
    <cellStyle name="Comma 4 2 3 3 3 2" xfId="5855" xr:uid="{FC74B3F6-D8A0-4285-9EB7-52EB26F7FE5C}"/>
    <cellStyle name="Comma 4 2 3 3 3 2 2" xfId="10073" xr:uid="{B0185FB7-56FD-44DA-8565-273BCB87C1F1}"/>
    <cellStyle name="Comma 4 2 3 3 3 3" xfId="7928" xr:uid="{75978335-82D5-432C-816E-EB713247E975}"/>
    <cellStyle name="Comma 4 2 3 3 4" xfId="4039" xr:uid="{AC07914C-E88D-4954-A9AF-2E8095A23864}"/>
    <cellStyle name="Comma 4 2 3 3 4 2" xfId="6268" xr:uid="{A75197EE-446A-4CEE-AEAA-768C6B52DAA4}"/>
    <cellStyle name="Comma 4 2 3 3 4 2 2" xfId="10486" xr:uid="{B988A17B-5AD6-4FEE-9CEE-DB01A97DCBD1}"/>
    <cellStyle name="Comma 4 2 3 3 4 3" xfId="8341" xr:uid="{9E3A639B-F04E-46DB-A26A-6D7FFD1DC7F7}"/>
    <cellStyle name="Comma 4 2 3 3 5" xfId="4452" xr:uid="{FFB738BB-2DAA-4A36-B3CD-9B0BC176652E}"/>
    <cellStyle name="Comma 4 2 3 3 5 2" xfId="6681" xr:uid="{FE0E13E9-B1C7-40E9-A84D-E4DDDC9CD4B8}"/>
    <cellStyle name="Comma 4 2 3 3 5 2 2" xfId="10899" xr:uid="{E742FF30-9937-4811-A7FE-383CBA963FD9}"/>
    <cellStyle name="Comma 4 2 3 3 5 3" xfId="8754" xr:uid="{01A1814D-BE26-4957-840F-90EA9FCB5061}"/>
    <cellStyle name="Comma 4 2 3 3 6" xfId="4887" xr:uid="{D93ACC0D-579B-4F69-B34F-B967C61FC33A}"/>
    <cellStyle name="Comma 4 2 3 3 6 2" xfId="9167" xr:uid="{8724C7EE-272B-4D1C-8417-A567BF2E79B5}"/>
    <cellStyle name="Comma 4 2 3 3 7" xfId="4864" xr:uid="{74D105C5-5A2E-4F82-AFEB-0E78B5C00424}"/>
    <cellStyle name="Comma 4 2 3 3 8" xfId="5265" xr:uid="{5F1E0233-6068-4EAD-B8AF-B84BACFAE9F4}"/>
    <cellStyle name="Comma 4 2 3 3 8 2" xfId="9484" xr:uid="{8E80193D-9D3D-4A12-A100-3BAAC17C2365}"/>
    <cellStyle name="Comma 4 2 3 3 9" xfId="7101" xr:uid="{91D75831-6374-4900-AD6E-84E809074EDD}"/>
    <cellStyle name="Comma 4 2 3 4" xfId="682" xr:uid="{00000000-0005-0000-0000-0000F6000000}"/>
    <cellStyle name="Comma 4 2 3 4 2" xfId="5439" xr:uid="{C4E47FE3-F5E9-4D8B-8539-6CF9BF023A9F}"/>
    <cellStyle name="Comma 4 2 3 4 2 2" xfId="9657" xr:uid="{3CDF3A63-2EB4-4181-A51F-A64B99EB549E}"/>
    <cellStyle name="Comma 4 2 3 4 3" xfId="7512" xr:uid="{BBD4F6A5-6C4E-47A9-861D-D21E9AC49332}"/>
    <cellStyle name="Comma 4 2 3 4 4" xfId="3208" xr:uid="{15878B8A-43C9-4AAE-86C9-E72DD247FF0A}"/>
    <cellStyle name="Comma 4 2 3 4 5" xfId="2381" xr:uid="{9EA94121-0F75-421C-9713-587E32DD9671}"/>
    <cellStyle name="Comma 4 2 3 4 6" xfId="1552" xr:uid="{D9EC1831-F06D-4A4B-A503-18CB72B53D2D}"/>
    <cellStyle name="Comma 4 2 3 5" xfId="3623" xr:uid="{549998AC-F0CB-4980-AB05-291118C82C92}"/>
    <cellStyle name="Comma 4 2 3 5 2" xfId="5852" xr:uid="{6FEAC9F9-1D8A-4B80-901E-BB1F245CD63E}"/>
    <cellStyle name="Comma 4 2 3 5 2 2" xfId="10070" xr:uid="{444BF381-7E5A-405C-B72D-4A9F7689C3CC}"/>
    <cellStyle name="Comma 4 2 3 5 3" xfId="7925" xr:uid="{C53C9BBE-1CA0-4F17-A20A-89D837E1B2A1}"/>
    <cellStyle name="Comma 4 2 3 6" xfId="4036" xr:uid="{A0F13ABE-9D9A-485B-86C4-60B64B1B4028}"/>
    <cellStyle name="Comma 4 2 3 6 2" xfId="6265" xr:uid="{6FFC9449-B680-4F3C-94A1-06781D20F5A8}"/>
    <cellStyle name="Comma 4 2 3 6 2 2" xfId="10483" xr:uid="{C05BDD81-624C-49DC-A1FD-5492C350CCB3}"/>
    <cellStyle name="Comma 4 2 3 6 3" xfId="8338" xr:uid="{F607220D-6210-42BF-85CF-8281DD968755}"/>
    <cellStyle name="Comma 4 2 3 7" xfId="4449" xr:uid="{17CA6A3F-DE98-48D4-87C1-E83E47760C6B}"/>
    <cellStyle name="Comma 4 2 3 7 2" xfId="6678" xr:uid="{FCCFFCA7-D3D6-4179-89BD-9CC609CA87B8}"/>
    <cellStyle name="Comma 4 2 3 7 2 2" xfId="10896" xr:uid="{5A7DCAD2-246D-4411-85F6-40A22DD5B653}"/>
    <cellStyle name="Comma 4 2 3 7 3" xfId="8751" xr:uid="{252AAAF8-5329-437F-A1EA-B56694D18D8A}"/>
    <cellStyle name="Comma 4 2 3 8" xfId="4884" xr:uid="{878881F7-B741-4BDB-9746-FF894C663991}"/>
    <cellStyle name="Comma 4 2 3 8 2" xfId="9164" xr:uid="{BCBE0CFB-BD08-4512-B9E8-A2AAE5C71DD2}"/>
    <cellStyle name="Comma 4 2 3 9" xfId="4867" xr:uid="{5F1657DF-22D5-44F6-98FE-DD00D8D08A05}"/>
    <cellStyle name="Comma 4 2 4" xfId="140" xr:uid="{00000000-0005-0000-0000-0000F7000000}"/>
    <cellStyle name="Comma 4 2 4 10" xfId="7102" xr:uid="{5609B5AE-0579-42F2-BD8A-82B851060BD5}"/>
    <cellStyle name="Comma 4 2 4 11" xfId="2798" xr:uid="{CCEFBE58-2FCA-4575-8785-0AB72DADF1B7}"/>
    <cellStyle name="Comma 4 2 4 12" xfId="1969" xr:uid="{A7472446-D061-4A83-BDE4-2EA09636B42B}"/>
    <cellStyle name="Comma 4 2 4 13" xfId="1140" xr:uid="{CB75A36C-604E-4365-A331-F03E7F580FD3}"/>
    <cellStyle name="Comma 4 2 4 2" xfId="141" xr:uid="{00000000-0005-0000-0000-0000F8000000}"/>
    <cellStyle name="Comma 4 2 4 2 10" xfId="2799" xr:uid="{C1CED363-E98B-4A68-A21D-05616EF41582}"/>
    <cellStyle name="Comma 4 2 4 2 11" xfId="1970" xr:uid="{02FB6068-ACB2-40FC-ACC3-03ADDE0743C9}"/>
    <cellStyle name="Comma 4 2 4 2 12" xfId="1141" xr:uid="{35DA539F-FADF-4B81-B94F-39D3BD7959F4}"/>
    <cellStyle name="Comma 4 2 4 2 2" xfId="687" xr:uid="{00000000-0005-0000-0000-0000F9000000}"/>
    <cellStyle name="Comma 4 2 4 2 2 2" xfId="5444" xr:uid="{D6619F02-96CD-4C1A-95C9-D16084398065}"/>
    <cellStyle name="Comma 4 2 4 2 2 2 2" xfId="9662" xr:uid="{6484CD6F-7A66-498A-BCD1-5AAFA385F37E}"/>
    <cellStyle name="Comma 4 2 4 2 2 3" xfId="7517" xr:uid="{09237870-3562-4C5D-8AD9-6EF00D7CF490}"/>
    <cellStyle name="Comma 4 2 4 2 2 4" xfId="3213" xr:uid="{00B6E47B-3AC9-4DAE-8FAD-178DC8547D74}"/>
    <cellStyle name="Comma 4 2 4 2 2 5" xfId="2386" xr:uid="{3C8F5AE0-34D2-4EDC-9CD4-96B7FF0E290F}"/>
    <cellStyle name="Comma 4 2 4 2 2 6" xfId="1557" xr:uid="{654FD7BA-D742-4181-B16F-87FAC2D86AB2}"/>
    <cellStyle name="Comma 4 2 4 2 3" xfId="3628" xr:uid="{64926D66-5631-43BC-B1A5-76B654AE7E2D}"/>
    <cellStyle name="Comma 4 2 4 2 3 2" xfId="5857" xr:uid="{677D9D86-6D92-4AA1-97D1-4343140027AA}"/>
    <cellStyle name="Comma 4 2 4 2 3 2 2" xfId="10075" xr:uid="{8DD3B63E-BFD1-4F2E-A3D4-0931F33A9C59}"/>
    <cellStyle name="Comma 4 2 4 2 3 3" xfId="7930" xr:uid="{0B516245-4D58-4227-AFF4-1E2B4EAA6890}"/>
    <cellStyle name="Comma 4 2 4 2 4" xfId="4041" xr:uid="{27F07593-8D72-4B90-B453-7BCBB7FC7374}"/>
    <cellStyle name="Comma 4 2 4 2 4 2" xfId="6270" xr:uid="{A79B102A-9881-4123-A2BB-C47F376DB9DA}"/>
    <cellStyle name="Comma 4 2 4 2 4 2 2" xfId="10488" xr:uid="{44E3482E-74C2-4165-A02E-1910C8622CC6}"/>
    <cellStyle name="Comma 4 2 4 2 4 3" xfId="8343" xr:uid="{EDF4BD26-6C95-4263-94A9-A87701F23556}"/>
    <cellStyle name="Comma 4 2 4 2 5" xfId="4454" xr:uid="{A1DB0BCF-3EFC-40BE-9ABD-5F20951F861F}"/>
    <cellStyle name="Comma 4 2 4 2 5 2" xfId="6683" xr:uid="{E71C3462-B700-4E40-B55D-82991A9A68E5}"/>
    <cellStyle name="Comma 4 2 4 2 5 2 2" xfId="10901" xr:uid="{4048350E-6C7D-4CDB-A91E-945E947BAE3C}"/>
    <cellStyle name="Comma 4 2 4 2 5 3" xfId="8756" xr:uid="{885E8DF7-4691-4EDC-A6B4-67493BC6F3E2}"/>
    <cellStyle name="Comma 4 2 4 2 6" xfId="4889" xr:uid="{7F1368C3-DEF6-4528-A50A-ECDACD7C338F}"/>
    <cellStyle name="Comma 4 2 4 2 6 2" xfId="9169" xr:uid="{A761C75F-368E-4AB4-8E51-EA7240FFAA18}"/>
    <cellStyle name="Comma 4 2 4 2 7" xfId="4862" xr:uid="{75A8BEF5-A5CD-47AE-A3D8-70332A3BBA54}"/>
    <cellStyle name="Comma 4 2 4 2 8" xfId="5267" xr:uid="{368EEAC4-9176-41D9-82E2-C51747DFC22E}"/>
    <cellStyle name="Comma 4 2 4 2 8 2" xfId="9486" xr:uid="{2AA1FADA-7CD0-4E8C-A50B-2C56E03C5608}"/>
    <cellStyle name="Comma 4 2 4 2 9" xfId="7103" xr:uid="{B1DC432F-A1E8-4415-B4E4-961670C95256}"/>
    <cellStyle name="Comma 4 2 4 3" xfId="686" xr:uid="{00000000-0005-0000-0000-0000FA000000}"/>
    <cellStyle name="Comma 4 2 4 3 2" xfId="5443" xr:uid="{451A9631-738D-4EBF-AFE0-50A3B53F0F0C}"/>
    <cellStyle name="Comma 4 2 4 3 2 2" xfId="9661" xr:uid="{3A0333BA-8AEA-4050-BBDB-A6A624A7E56E}"/>
    <cellStyle name="Comma 4 2 4 3 3" xfId="7516" xr:uid="{DF67390B-7CDA-4B70-A008-B20F0EB94D31}"/>
    <cellStyle name="Comma 4 2 4 3 4" xfId="3212" xr:uid="{719DA98C-38CC-4E9B-AA1C-F43E1C1A1084}"/>
    <cellStyle name="Comma 4 2 4 3 5" xfId="2385" xr:uid="{BE86C3BD-C9E9-4935-8103-B22C99852D55}"/>
    <cellStyle name="Comma 4 2 4 3 6" xfId="1556" xr:uid="{42E39EC9-A61A-4E80-B3A8-663A46B6DDE2}"/>
    <cellStyle name="Comma 4 2 4 4" xfId="3627" xr:uid="{AE9B2FBE-BEC9-451A-919D-175707E13E67}"/>
    <cellStyle name="Comma 4 2 4 4 2" xfId="5856" xr:uid="{72CDD357-88B3-4390-AE2E-CA1D5B2AA4A7}"/>
    <cellStyle name="Comma 4 2 4 4 2 2" xfId="10074" xr:uid="{4231CF60-2F17-40DC-83A0-1C515C6AAF3F}"/>
    <cellStyle name="Comma 4 2 4 4 3" xfId="7929" xr:uid="{CA34FC43-F8B5-49C0-9987-BD6BB009C281}"/>
    <cellStyle name="Comma 4 2 4 5" xfId="4040" xr:uid="{3B36453F-FB61-4D11-A1EE-B402E96864DD}"/>
    <cellStyle name="Comma 4 2 4 5 2" xfId="6269" xr:uid="{D290A6CD-3512-4685-9B32-D33557C6A683}"/>
    <cellStyle name="Comma 4 2 4 5 2 2" xfId="10487" xr:uid="{FE3A040F-81A0-406F-A05B-9F8A0C19D23A}"/>
    <cellStyle name="Comma 4 2 4 5 3" xfId="8342" xr:uid="{3474DAF4-26AF-4A76-BE93-B25E4CBD3158}"/>
    <cellStyle name="Comma 4 2 4 6" xfId="4453" xr:uid="{49B4AF2C-0680-43FC-BAEC-F15507E5B9D7}"/>
    <cellStyle name="Comma 4 2 4 6 2" xfId="6682" xr:uid="{15DC70FC-055A-4ADB-9FC5-C5675F798FE2}"/>
    <cellStyle name="Comma 4 2 4 6 2 2" xfId="10900" xr:uid="{1C5CC3F5-16C5-4D1D-B7A2-E6B2DEF67636}"/>
    <cellStyle name="Comma 4 2 4 6 3" xfId="8755" xr:uid="{2311B96D-AE18-46C0-91F6-BA2EB52BBC24}"/>
    <cellStyle name="Comma 4 2 4 7" xfId="4888" xr:uid="{474EA9E4-FF95-442A-A49C-A8E220B8F7B8}"/>
    <cellStyle name="Comma 4 2 4 7 2" xfId="9168" xr:uid="{45F252F2-6B5F-4D85-AACA-DA3E856FB1C4}"/>
    <cellStyle name="Comma 4 2 4 8" xfId="4863" xr:uid="{C9B05391-25B1-4731-A0B0-774632FA3D83}"/>
    <cellStyle name="Comma 4 2 4 9" xfId="5266" xr:uid="{7523CC35-0D77-4179-AEE1-73B0D7AE9A88}"/>
    <cellStyle name="Comma 4 2 4 9 2" xfId="9485" xr:uid="{4123335F-7E57-4AC8-B672-4A3B838FD292}"/>
    <cellStyle name="Comma 4 2 5" xfId="142" xr:uid="{00000000-0005-0000-0000-0000FB000000}"/>
    <cellStyle name="Comma 4 2 5 10" xfId="2800" xr:uid="{84EDD85C-A126-4DEC-A353-9D4969AEEAA9}"/>
    <cellStyle name="Comma 4 2 5 11" xfId="1971" xr:uid="{79E140E2-D8B6-417D-9AB4-96A39FB56AD1}"/>
    <cellStyle name="Comma 4 2 5 12" xfId="1142" xr:uid="{C2D410D5-CC32-4317-8D3C-0032EC66B68C}"/>
    <cellStyle name="Comma 4 2 5 2" xfId="688" xr:uid="{00000000-0005-0000-0000-0000FC000000}"/>
    <cellStyle name="Comma 4 2 5 2 2" xfId="5445" xr:uid="{18899206-4E3C-463B-ADE9-72CCD866FF4A}"/>
    <cellStyle name="Comma 4 2 5 2 2 2" xfId="9663" xr:uid="{88B6FC14-E169-4812-ADCB-35A8D8C71B0B}"/>
    <cellStyle name="Comma 4 2 5 2 3" xfId="7518" xr:uid="{348FE912-AC09-4BD0-A98C-CA7D148DD989}"/>
    <cellStyle name="Comma 4 2 5 2 4" xfId="3214" xr:uid="{14B8BF85-ACA3-4BC2-B559-392621766222}"/>
    <cellStyle name="Comma 4 2 5 2 5" xfId="2387" xr:uid="{0189C74D-C79D-420C-9F2C-7EE859AFB343}"/>
    <cellStyle name="Comma 4 2 5 2 6" xfId="1558" xr:uid="{F1ED1578-21F2-4790-BF09-2DA775D7DA79}"/>
    <cellStyle name="Comma 4 2 5 3" xfId="3629" xr:uid="{36124E44-CECD-4F70-BA2D-4C67DE6EF25C}"/>
    <cellStyle name="Comma 4 2 5 3 2" xfId="5858" xr:uid="{2402E1C9-EB67-4CDD-B8FE-A28A12ED24D5}"/>
    <cellStyle name="Comma 4 2 5 3 2 2" xfId="10076" xr:uid="{C467CFE7-352B-4E92-A56A-CA9F725F4E04}"/>
    <cellStyle name="Comma 4 2 5 3 3" xfId="7931" xr:uid="{D2846165-12D8-4843-95C4-6AD31C60FA20}"/>
    <cellStyle name="Comma 4 2 5 4" xfId="4042" xr:uid="{AC41C45D-C350-4A7F-B336-85B317E8FEDA}"/>
    <cellStyle name="Comma 4 2 5 4 2" xfId="6271" xr:uid="{EE786E9A-91E7-4A0C-9D93-62C7788731A1}"/>
    <cellStyle name="Comma 4 2 5 4 2 2" xfId="10489" xr:uid="{96166C52-E489-424D-AA50-BB85DAC4E10F}"/>
    <cellStyle name="Comma 4 2 5 4 3" xfId="8344" xr:uid="{CC4B890B-0FB8-42C4-9A97-26835B6BD904}"/>
    <cellStyle name="Comma 4 2 5 5" xfId="4455" xr:uid="{E60D2A22-E46F-46FC-951F-07B1E781449C}"/>
    <cellStyle name="Comma 4 2 5 5 2" xfId="6684" xr:uid="{64341035-4BBA-4E59-B8A5-5DC1CFC9B24C}"/>
    <cellStyle name="Comma 4 2 5 5 2 2" xfId="10902" xr:uid="{EB3D8B16-3716-4C7A-BA1D-6945F83F12D9}"/>
    <cellStyle name="Comma 4 2 5 5 3" xfId="8757" xr:uid="{9CFE1299-194C-4E7A-A45F-C5475A4BA030}"/>
    <cellStyle name="Comma 4 2 5 6" xfId="4890" xr:uid="{921E8763-5B80-4DE2-9774-7FF3398DCFBF}"/>
    <cellStyle name="Comma 4 2 5 6 2" xfId="9170" xr:uid="{EBF1F7DC-4114-40CC-8E1E-EB211018B987}"/>
    <cellStyle name="Comma 4 2 5 7" xfId="4861" xr:uid="{E7DE1BF4-51A4-4A86-B5F6-2C27A181AF85}"/>
    <cellStyle name="Comma 4 2 5 8" xfId="5268" xr:uid="{0E7A36CC-946D-4236-9B21-8C920B9119FD}"/>
    <cellStyle name="Comma 4 2 5 8 2" xfId="9487" xr:uid="{C2EE2907-BF7F-485A-BC6D-B735536CD7C0}"/>
    <cellStyle name="Comma 4 2 5 9" xfId="7104" xr:uid="{A3AAD033-EF33-412E-8D28-9A757AB4D182}"/>
    <cellStyle name="Comma 4 2 6" xfId="143" xr:uid="{00000000-0005-0000-0000-0000FD000000}"/>
    <cellStyle name="Comma 4 2 6 10" xfId="2801" xr:uid="{451F3C4C-DE46-45B1-A5D1-4496A6815F45}"/>
    <cellStyle name="Comma 4 2 6 11" xfId="1972" xr:uid="{2F70913C-1619-4C60-B620-83A1DB080E3D}"/>
    <cellStyle name="Comma 4 2 6 12" xfId="1143" xr:uid="{09150F41-68AE-4036-99CC-2C44B39D974C}"/>
    <cellStyle name="Comma 4 2 6 2" xfId="689" xr:uid="{00000000-0005-0000-0000-0000FE000000}"/>
    <cellStyle name="Comma 4 2 6 2 2" xfId="5446" xr:uid="{BF4EEC57-96F5-44D2-A0B6-6937689FA614}"/>
    <cellStyle name="Comma 4 2 6 2 2 2" xfId="9664" xr:uid="{181B51B4-5F56-4786-882B-C119275277D3}"/>
    <cellStyle name="Comma 4 2 6 2 3" xfId="7519" xr:uid="{900648BA-84B5-407F-B00F-5F8577C493CB}"/>
    <cellStyle name="Comma 4 2 6 2 4" xfId="3215" xr:uid="{D4FD2071-5AB2-4B4C-BD6E-7FC695FDB798}"/>
    <cellStyle name="Comma 4 2 6 2 5" xfId="2388" xr:uid="{D77694C4-1293-4BE8-85CE-A19A9DBF74D0}"/>
    <cellStyle name="Comma 4 2 6 2 6" xfId="1559" xr:uid="{79A68528-96ED-41E9-B244-FA06428C87B8}"/>
    <cellStyle name="Comma 4 2 6 3" xfId="3630" xr:uid="{F8DCE78F-0F3D-4341-8629-CD67C4450DDB}"/>
    <cellStyle name="Comma 4 2 6 3 2" xfId="5859" xr:uid="{9DFBDAD4-954C-4B1B-A040-8E8535ADBB35}"/>
    <cellStyle name="Comma 4 2 6 3 2 2" xfId="10077" xr:uid="{5EFD92B3-E9C7-4A68-BE52-B8F0F650AA4B}"/>
    <cellStyle name="Comma 4 2 6 3 3" xfId="7932" xr:uid="{FDF3353D-4D33-4632-8DA7-0F408A3DDF41}"/>
    <cellStyle name="Comma 4 2 6 4" xfId="4043" xr:uid="{5D3F2341-A96D-4846-BE9D-4C3506967ED6}"/>
    <cellStyle name="Comma 4 2 6 4 2" xfId="6272" xr:uid="{D6F3DC53-C071-44A1-9BFC-4EBFCBA00954}"/>
    <cellStyle name="Comma 4 2 6 4 2 2" xfId="10490" xr:uid="{8264B730-09F2-41B8-B5E9-0F13EC4E78B7}"/>
    <cellStyle name="Comma 4 2 6 4 3" xfId="8345" xr:uid="{0E3E922E-B339-4BC6-B5D1-D870C3F15B41}"/>
    <cellStyle name="Comma 4 2 6 5" xfId="4456" xr:uid="{A7D97ED9-7D5A-417E-9CFA-856636A2AC48}"/>
    <cellStyle name="Comma 4 2 6 5 2" xfId="6685" xr:uid="{A400E417-E511-4D38-A9BD-6730C6BC4DFB}"/>
    <cellStyle name="Comma 4 2 6 5 2 2" xfId="10903" xr:uid="{47E0CCF1-3BD6-44FC-B2C1-7FBDD10B13FC}"/>
    <cellStyle name="Comma 4 2 6 5 3" xfId="8758" xr:uid="{0A1C0963-DCD8-444A-8302-1CD45BF78EE2}"/>
    <cellStyle name="Comma 4 2 6 6" xfId="4891" xr:uid="{C9957C03-F4EA-4C25-B129-54028D0071CB}"/>
    <cellStyle name="Comma 4 2 6 6 2" xfId="9171" xr:uid="{572F4608-4D09-4A7D-9968-81E00CE61534}"/>
    <cellStyle name="Comma 4 2 6 7" xfId="4860" xr:uid="{1AD6FD85-59BE-44E1-A4C9-242DB5E84EA5}"/>
    <cellStyle name="Comma 4 2 6 8" xfId="5269" xr:uid="{A64371E6-518C-469A-B7BE-06D59411D9D2}"/>
    <cellStyle name="Comma 4 2 6 8 2" xfId="9488" xr:uid="{7A46D6CB-EF8E-4FAA-BC32-955856534D31}"/>
    <cellStyle name="Comma 4 2 6 9" xfId="7105" xr:uid="{01615DE7-30CA-45D4-AB1D-C1F0D1459338}"/>
    <cellStyle name="Comma 4 3" xfId="144" xr:uid="{00000000-0005-0000-0000-0000FF000000}"/>
    <cellStyle name="Comma 4 3 2" xfId="145" xr:uid="{00000000-0005-0000-0000-000000010000}"/>
    <cellStyle name="Comma 4 3 2 10" xfId="5270" xr:uid="{2ABE4B93-9E09-4E36-A033-64506457EFC2}"/>
    <cellStyle name="Comma 4 3 2 10 2" xfId="9489" xr:uid="{CD66C205-62DB-4DA4-913F-55C9A55E3184}"/>
    <cellStyle name="Comma 4 3 2 11" xfId="7106" xr:uid="{93C2E112-467D-4184-B325-14293C60F791}"/>
    <cellStyle name="Comma 4 3 2 12" xfId="2802" xr:uid="{8A10FBFF-F542-4B67-A0E9-B30A104FDABE}"/>
    <cellStyle name="Comma 4 3 2 13" xfId="1973" xr:uid="{4FC55B73-DE7D-48C5-9FA6-41CDAF19D855}"/>
    <cellStyle name="Comma 4 3 2 14" xfId="1144" xr:uid="{E9245788-612A-411A-8F71-4AD1C8B7AB75}"/>
    <cellStyle name="Comma 4 3 2 2" xfId="146" xr:uid="{00000000-0005-0000-0000-000001010000}"/>
    <cellStyle name="Comma 4 3 2 2 10" xfId="7107" xr:uid="{10173B1F-E2B0-4CC9-9CE6-43A38D6CD8D9}"/>
    <cellStyle name="Comma 4 3 2 2 11" xfId="2803" xr:uid="{B91497BA-D51A-46DA-90A3-CEBA7526BDF9}"/>
    <cellStyle name="Comma 4 3 2 2 12" xfId="1974" xr:uid="{429F2E0B-081D-48DA-BCCF-0EDCB4E11AD6}"/>
    <cellStyle name="Comma 4 3 2 2 13" xfId="1145" xr:uid="{00B379D3-F366-48CF-B43B-CDA6C53E8F51}"/>
    <cellStyle name="Comma 4 3 2 2 2" xfId="147" xr:uid="{00000000-0005-0000-0000-000002010000}"/>
    <cellStyle name="Comma 4 3 2 2 2 10" xfId="2804" xr:uid="{3A543FD4-83E3-4984-A537-6EBF4C92A918}"/>
    <cellStyle name="Comma 4 3 2 2 2 11" xfId="1975" xr:uid="{E5C9384B-6FF3-4907-959F-7247399608CE}"/>
    <cellStyle name="Comma 4 3 2 2 2 12" xfId="1146" xr:uid="{6D7B77E9-AFB8-4793-BABC-918FF4D99EDC}"/>
    <cellStyle name="Comma 4 3 2 2 2 2" xfId="692" xr:uid="{00000000-0005-0000-0000-000003010000}"/>
    <cellStyle name="Comma 4 3 2 2 2 2 2" xfId="5449" xr:uid="{660C57A2-4062-4120-ABBF-545EB5C41DA0}"/>
    <cellStyle name="Comma 4 3 2 2 2 2 2 2" xfId="9667" xr:uid="{44A9E176-230C-4162-8A4C-2391DFE42074}"/>
    <cellStyle name="Comma 4 3 2 2 2 2 3" xfId="7522" xr:uid="{8E2DA4A2-C024-4CFC-98F1-AD7F4F36457F}"/>
    <cellStyle name="Comma 4 3 2 2 2 2 4" xfId="3218" xr:uid="{069834C8-0D8A-4699-AACA-4811E6702605}"/>
    <cellStyle name="Comma 4 3 2 2 2 2 5" xfId="2391" xr:uid="{84F92581-10CD-45CC-954C-FD72206668E3}"/>
    <cellStyle name="Comma 4 3 2 2 2 2 6" xfId="1562" xr:uid="{EA225D8E-1FF7-478A-85C9-14648B3A7CFE}"/>
    <cellStyle name="Comma 4 3 2 2 2 3" xfId="3633" xr:uid="{9885397B-F317-4AB7-A825-25F8FB770C14}"/>
    <cellStyle name="Comma 4 3 2 2 2 3 2" xfId="5862" xr:uid="{42052404-B0F3-4ADA-B7C5-4443987D7F91}"/>
    <cellStyle name="Comma 4 3 2 2 2 3 2 2" xfId="10080" xr:uid="{E92F5347-454E-4F3A-9DD2-9610AAB190D4}"/>
    <cellStyle name="Comma 4 3 2 2 2 3 3" xfId="7935" xr:uid="{C38EC80E-FCA3-438D-95A4-B80ECFEDFACB}"/>
    <cellStyle name="Comma 4 3 2 2 2 4" xfId="4046" xr:uid="{9DF996CA-716E-42E0-B21B-6ECAC86B6AC7}"/>
    <cellStyle name="Comma 4 3 2 2 2 4 2" xfId="6275" xr:uid="{32D30300-A44C-4D6C-8718-9DDCD32C341F}"/>
    <cellStyle name="Comma 4 3 2 2 2 4 2 2" xfId="10493" xr:uid="{0B7A673D-5599-48E6-8D22-E0919AE4A8C9}"/>
    <cellStyle name="Comma 4 3 2 2 2 4 3" xfId="8348" xr:uid="{D603C776-EBA7-42E5-8A29-D19969EEA4F3}"/>
    <cellStyle name="Comma 4 3 2 2 2 5" xfId="4459" xr:uid="{61DF02A4-05D2-4F34-BAA8-CC09DA4882E0}"/>
    <cellStyle name="Comma 4 3 2 2 2 5 2" xfId="6688" xr:uid="{3F2311C6-3D10-4C46-A980-3B7BB14464F8}"/>
    <cellStyle name="Comma 4 3 2 2 2 5 2 2" xfId="10906" xr:uid="{66B603CC-A43A-407A-8E71-78F75B6E9C57}"/>
    <cellStyle name="Comma 4 3 2 2 2 5 3" xfId="8761" xr:uid="{C9F9B96F-E0A5-4D4E-B864-CB610441D577}"/>
    <cellStyle name="Comma 4 3 2 2 2 6" xfId="4894" xr:uid="{353A34FE-41BB-4A1C-9627-9DE933D34DC3}"/>
    <cellStyle name="Comma 4 3 2 2 2 6 2" xfId="9174" xr:uid="{8C17E8FD-F454-4669-8AA3-021EBA1C3457}"/>
    <cellStyle name="Comma 4 3 2 2 2 7" xfId="4857" xr:uid="{C3B3E406-B4FE-4BB5-96A5-4161AE21CB92}"/>
    <cellStyle name="Comma 4 3 2 2 2 8" xfId="5272" xr:uid="{FAB1AE70-CA7D-4D76-AF29-44EBD82D559B}"/>
    <cellStyle name="Comma 4 3 2 2 2 8 2" xfId="9491" xr:uid="{1608245B-1DCE-4782-BFC0-90E35C43C4D2}"/>
    <cellStyle name="Comma 4 3 2 2 2 9" xfId="7108" xr:uid="{01640BCE-AFDB-401B-863A-9C6BD7336C5D}"/>
    <cellStyle name="Comma 4 3 2 2 3" xfId="691" xr:uid="{00000000-0005-0000-0000-000004010000}"/>
    <cellStyle name="Comma 4 3 2 2 3 2" xfId="5448" xr:uid="{C821273F-846F-4BC2-BD06-1443889A79F2}"/>
    <cellStyle name="Comma 4 3 2 2 3 2 2" xfId="9666" xr:uid="{A867608C-6B3A-48AA-9476-310144674C94}"/>
    <cellStyle name="Comma 4 3 2 2 3 3" xfId="7521" xr:uid="{D237CA39-D755-418E-ADE6-742B8E407F69}"/>
    <cellStyle name="Comma 4 3 2 2 3 4" xfId="3217" xr:uid="{8897B642-9AC4-4BCD-BB9B-6287C8D4B7A6}"/>
    <cellStyle name="Comma 4 3 2 2 3 5" xfId="2390" xr:uid="{2645F182-A143-4894-BD5F-B6598AE73992}"/>
    <cellStyle name="Comma 4 3 2 2 3 6" xfId="1561" xr:uid="{6F30CB5A-2D7A-43F9-B03A-4C2C381F39C6}"/>
    <cellStyle name="Comma 4 3 2 2 4" xfId="3632" xr:uid="{6F97F7E3-638B-4831-9FFB-CF46459D2995}"/>
    <cellStyle name="Comma 4 3 2 2 4 2" xfId="5861" xr:uid="{DC6319E0-F80A-4328-A440-C6F915C839A7}"/>
    <cellStyle name="Comma 4 3 2 2 4 2 2" xfId="10079" xr:uid="{27E779BA-5E67-45CB-9DE5-655FF4292027}"/>
    <cellStyle name="Comma 4 3 2 2 4 3" xfId="7934" xr:uid="{5BB039E5-989B-4A38-AC88-3991E3812A7B}"/>
    <cellStyle name="Comma 4 3 2 2 5" xfId="4045" xr:uid="{24EF8AF2-77D4-4BB5-8899-1A8904C78A8C}"/>
    <cellStyle name="Comma 4 3 2 2 5 2" xfId="6274" xr:uid="{82122AEE-ED75-4354-BE43-86212826D192}"/>
    <cellStyle name="Comma 4 3 2 2 5 2 2" xfId="10492" xr:uid="{7A10097C-16BE-4C0C-9DF4-F9071DB8A45B}"/>
    <cellStyle name="Comma 4 3 2 2 5 3" xfId="8347" xr:uid="{BB382EEA-C44E-4995-9618-2D012CD3417F}"/>
    <cellStyle name="Comma 4 3 2 2 6" xfId="4458" xr:uid="{1009A1FA-BB57-430E-98EA-759DF157AA04}"/>
    <cellStyle name="Comma 4 3 2 2 6 2" xfId="6687" xr:uid="{1D9337C4-0CFA-4B3B-830C-33C3C39692D7}"/>
    <cellStyle name="Comma 4 3 2 2 6 2 2" xfId="10905" xr:uid="{8436D4E1-6492-4D77-BE1A-A3BE965EAD77}"/>
    <cellStyle name="Comma 4 3 2 2 6 3" xfId="8760" xr:uid="{D90FC313-2DDC-4041-B145-CDB4CDF2180D}"/>
    <cellStyle name="Comma 4 3 2 2 7" xfId="4893" xr:uid="{97E9DDF3-E8A5-4578-8C60-5222606EE068}"/>
    <cellStyle name="Comma 4 3 2 2 7 2" xfId="9173" xr:uid="{66E54493-6AFD-44DB-93B3-A8E96A1CE7D8}"/>
    <cellStyle name="Comma 4 3 2 2 8" xfId="4858" xr:uid="{CEC9C24D-18C3-4A28-84F2-482C3DE687DC}"/>
    <cellStyle name="Comma 4 3 2 2 9" xfId="5271" xr:uid="{F75E1043-1C45-4E46-BA5A-7F2C2218D80C}"/>
    <cellStyle name="Comma 4 3 2 2 9 2" xfId="9490" xr:uid="{B5AD0868-0C54-411C-B12B-572806D1D3F9}"/>
    <cellStyle name="Comma 4 3 2 3" xfId="148" xr:uid="{00000000-0005-0000-0000-000005010000}"/>
    <cellStyle name="Comma 4 3 2 3 10" xfId="2805" xr:uid="{ABD9DECB-52E7-4151-98E4-4606137C7A48}"/>
    <cellStyle name="Comma 4 3 2 3 11" xfId="1976" xr:uid="{9B40F880-54A7-4CC4-AF8C-6137471719A2}"/>
    <cellStyle name="Comma 4 3 2 3 12" xfId="1147" xr:uid="{23F73F03-6D45-48A1-9A65-A4EBB5E47E97}"/>
    <cellStyle name="Comma 4 3 2 3 2" xfId="693" xr:uid="{00000000-0005-0000-0000-000006010000}"/>
    <cellStyle name="Comma 4 3 2 3 2 2" xfId="5450" xr:uid="{11E16FBC-5B12-43C6-8D5C-8F2BD1DEAF57}"/>
    <cellStyle name="Comma 4 3 2 3 2 2 2" xfId="9668" xr:uid="{26154B82-7460-4B9D-BFD8-63D9335B373D}"/>
    <cellStyle name="Comma 4 3 2 3 2 3" xfId="7523" xr:uid="{4F077553-241D-475F-8040-1DFEBC169144}"/>
    <cellStyle name="Comma 4 3 2 3 2 4" xfId="3219" xr:uid="{9C1F3863-2AED-4C59-9921-49369A072B36}"/>
    <cellStyle name="Comma 4 3 2 3 2 5" xfId="2392" xr:uid="{F2DA2ADD-8E43-4BF4-9D9F-0684BB140DD3}"/>
    <cellStyle name="Comma 4 3 2 3 2 6" xfId="1563" xr:uid="{DDF89BE5-BFC9-4A85-B923-7FC83B684A9C}"/>
    <cellStyle name="Comma 4 3 2 3 3" xfId="3634" xr:uid="{7A981C4F-381C-422B-81D1-875D055FF06B}"/>
    <cellStyle name="Comma 4 3 2 3 3 2" xfId="5863" xr:uid="{58527FAB-8568-4983-B690-50CE7D7F63CD}"/>
    <cellStyle name="Comma 4 3 2 3 3 2 2" xfId="10081" xr:uid="{279FDB5D-FBEB-48D9-AEED-43819F29E2F7}"/>
    <cellStyle name="Comma 4 3 2 3 3 3" xfId="7936" xr:uid="{4AE3B1DB-E977-49EC-A4E5-CCD1C9EB648B}"/>
    <cellStyle name="Comma 4 3 2 3 4" xfId="4047" xr:uid="{1754C621-8468-4B2E-895E-E97D3B990ACF}"/>
    <cellStyle name="Comma 4 3 2 3 4 2" xfId="6276" xr:uid="{062FE4E3-427B-4CD7-A15B-68BBBD4C6BBC}"/>
    <cellStyle name="Comma 4 3 2 3 4 2 2" xfId="10494" xr:uid="{49B416DE-04D6-45ED-9040-B3314BC50200}"/>
    <cellStyle name="Comma 4 3 2 3 4 3" xfId="8349" xr:uid="{08C2CC82-75E1-4615-97C4-978CC8A4202E}"/>
    <cellStyle name="Comma 4 3 2 3 5" xfId="4460" xr:uid="{4064719E-CD16-4A9D-A196-D587A84B59A3}"/>
    <cellStyle name="Comma 4 3 2 3 5 2" xfId="6689" xr:uid="{C53AFB1D-7C01-4D8B-A31C-B99A5981CB55}"/>
    <cellStyle name="Comma 4 3 2 3 5 2 2" xfId="10907" xr:uid="{59EED297-5DC8-48C1-9A2F-D659F0D23AE9}"/>
    <cellStyle name="Comma 4 3 2 3 5 3" xfId="8762" xr:uid="{FA75B77D-AFD8-4459-9139-786AFF822A35}"/>
    <cellStyle name="Comma 4 3 2 3 6" xfId="4895" xr:uid="{04048C7B-6398-44F9-A23E-F8F7C8A5BC07}"/>
    <cellStyle name="Comma 4 3 2 3 6 2" xfId="9175" xr:uid="{B62CF94F-B5F4-4869-85E3-F3833772DE7E}"/>
    <cellStyle name="Comma 4 3 2 3 7" xfId="4856" xr:uid="{1AA2631B-F69A-4A68-80CE-9382E0BF1699}"/>
    <cellStyle name="Comma 4 3 2 3 8" xfId="5273" xr:uid="{90161F07-2C28-439B-96DA-AB2F71136086}"/>
    <cellStyle name="Comma 4 3 2 3 8 2" xfId="9492" xr:uid="{06742011-11CE-47AC-A7E8-4B00BAFD567B}"/>
    <cellStyle name="Comma 4 3 2 3 9" xfId="7109" xr:uid="{4020839B-A1FF-49A3-9778-3F7C01B37652}"/>
    <cellStyle name="Comma 4 3 2 4" xfId="690" xr:uid="{00000000-0005-0000-0000-000007010000}"/>
    <cellStyle name="Comma 4 3 2 4 2" xfId="5447" xr:uid="{D70E4D5B-EDE7-450E-A915-8AC8E8CE5B3C}"/>
    <cellStyle name="Comma 4 3 2 4 2 2" xfId="9665" xr:uid="{C28C1FD2-20C7-4F90-974B-7A60FEEE049B}"/>
    <cellStyle name="Comma 4 3 2 4 3" xfId="7520" xr:uid="{16701613-1002-4426-8536-86C2503B5CDC}"/>
    <cellStyle name="Comma 4 3 2 4 4" xfId="3216" xr:uid="{AC3641E0-E95D-4B13-865A-A950E1A47660}"/>
    <cellStyle name="Comma 4 3 2 4 5" xfId="2389" xr:uid="{9F8F3627-69A9-44FF-B7F5-E8EEA6869657}"/>
    <cellStyle name="Comma 4 3 2 4 6" xfId="1560" xr:uid="{80BE5B96-0271-49EA-9A60-EAEF0CB385FE}"/>
    <cellStyle name="Comma 4 3 2 5" xfId="3631" xr:uid="{557CD21D-C1CB-45C8-8D25-2047CC9D16CE}"/>
    <cellStyle name="Comma 4 3 2 5 2" xfId="5860" xr:uid="{C5E8568F-1526-41A2-8171-535F4021A906}"/>
    <cellStyle name="Comma 4 3 2 5 2 2" xfId="10078" xr:uid="{E0E7B972-94BC-4EE8-A852-0CE5FA8B3E60}"/>
    <cellStyle name="Comma 4 3 2 5 3" xfId="7933" xr:uid="{23A6DA63-22E3-4DEA-BF76-69B58CBBF896}"/>
    <cellStyle name="Comma 4 3 2 6" xfId="4044" xr:uid="{80AF970B-1AEA-4201-AF95-BC9FD6D4B753}"/>
    <cellStyle name="Comma 4 3 2 6 2" xfId="6273" xr:uid="{E0D759D1-4DA9-44A0-A12C-0B371C52512F}"/>
    <cellStyle name="Comma 4 3 2 6 2 2" xfId="10491" xr:uid="{BBF85F2C-D5E9-45A4-A1ED-640639BF6827}"/>
    <cellStyle name="Comma 4 3 2 6 3" xfId="8346" xr:uid="{EF1E1D8E-7970-4AAE-A5CE-3AF06822F7FE}"/>
    <cellStyle name="Comma 4 3 2 7" xfId="4457" xr:uid="{575D249C-5F07-428D-AFB4-5207AD0E9871}"/>
    <cellStyle name="Comma 4 3 2 7 2" xfId="6686" xr:uid="{61B5D58B-6383-442C-8686-81F1ACF6F9AB}"/>
    <cellStyle name="Comma 4 3 2 7 2 2" xfId="10904" xr:uid="{673A82B9-0B85-48B4-937E-FF4B55255A19}"/>
    <cellStyle name="Comma 4 3 2 7 3" xfId="8759" xr:uid="{F23F4FAD-EA2C-420C-B820-869884374AFF}"/>
    <cellStyle name="Comma 4 3 2 8" xfId="4892" xr:uid="{C84CC86D-ECBD-4EC5-BE88-2852F99F9F6F}"/>
    <cellStyle name="Comma 4 3 2 8 2" xfId="9172" xr:uid="{52FC3CAC-D81C-4193-B759-5EAD1B7873B4}"/>
    <cellStyle name="Comma 4 3 2 9" xfId="4859" xr:uid="{12316582-4D1B-4AFE-B178-5F94186F6BBD}"/>
    <cellStyle name="Comma 4 3 3" xfId="149" xr:uid="{00000000-0005-0000-0000-000008010000}"/>
    <cellStyle name="Comma 4 3 3 10" xfId="7110" xr:uid="{7B434F73-30BE-40FA-BB05-3298812F97FD}"/>
    <cellStyle name="Comma 4 3 3 11" xfId="2806" xr:uid="{E4558811-5BA3-4F4C-AF73-E7091AA5CAA2}"/>
    <cellStyle name="Comma 4 3 3 12" xfId="1977" xr:uid="{AAD82F50-B76A-4443-BD05-22E059D58322}"/>
    <cellStyle name="Comma 4 3 3 13" xfId="1148" xr:uid="{C034A885-27C1-451B-A7C8-547033316387}"/>
    <cellStyle name="Comma 4 3 3 2" xfId="150" xr:uid="{00000000-0005-0000-0000-000009010000}"/>
    <cellStyle name="Comma 4 3 3 2 10" xfId="2807" xr:uid="{58A2B313-D5F2-40CF-8B2E-9436DBC80AC3}"/>
    <cellStyle name="Comma 4 3 3 2 11" xfId="1978" xr:uid="{D3E1240F-2682-40B1-8109-78176BB3F6CE}"/>
    <cellStyle name="Comma 4 3 3 2 12" xfId="1149" xr:uid="{8F6D83C1-B5C7-47AF-809A-2F3126EA21B1}"/>
    <cellStyle name="Comma 4 3 3 2 2" xfId="695" xr:uid="{00000000-0005-0000-0000-00000A010000}"/>
    <cellStyle name="Comma 4 3 3 2 2 2" xfId="5452" xr:uid="{F77BA8B1-C806-449B-B3F0-20BEB24D4A23}"/>
    <cellStyle name="Comma 4 3 3 2 2 2 2" xfId="9670" xr:uid="{4777F2D3-9593-4E38-9EC5-6E2807E48518}"/>
    <cellStyle name="Comma 4 3 3 2 2 3" xfId="7525" xr:uid="{C10777DA-300C-441E-953E-7CE7A94C450D}"/>
    <cellStyle name="Comma 4 3 3 2 2 4" xfId="3221" xr:uid="{15211D7B-9A5A-4C4B-A917-333A1680B468}"/>
    <cellStyle name="Comma 4 3 3 2 2 5" xfId="2394" xr:uid="{8053A58E-CC0F-4BA1-95E3-F4FDF594CE47}"/>
    <cellStyle name="Comma 4 3 3 2 2 6" xfId="1565" xr:uid="{FEA99650-088F-4E07-AB8F-BFEFFB2C12E2}"/>
    <cellStyle name="Comma 4 3 3 2 3" xfId="3636" xr:uid="{2C84AA80-DC33-4C71-BB5C-31CCA592D8BE}"/>
    <cellStyle name="Comma 4 3 3 2 3 2" xfId="5865" xr:uid="{0429568E-9AFF-41BE-AF5D-F4F7D1429736}"/>
    <cellStyle name="Comma 4 3 3 2 3 2 2" xfId="10083" xr:uid="{79174472-98BD-4ACA-B3AF-28F0DA65D9A5}"/>
    <cellStyle name="Comma 4 3 3 2 3 3" xfId="7938" xr:uid="{9590A0D3-686F-4594-9110-E842E8629B23}"/>
    <cellStyle name="Comma 4 3 3 2 4" xfId="4049" xr:uid="{9709BAB9-76F8-4139-A4B3-F59F12E2DCF6}"/>
    <cellStyle name="Comma 4 3 3 2 4 2" xfId="6278" xr:uid="{A74F83BC-F2B1-4573-BE75-7FD0965521B9}"/>
    <cellStyle name="Comma 4 3 3 2 4 2 2" xfId="10496" xr:uid="{F151EC5C-2ED1-444C-8DFC-B6CFD8DAE64A}"/>
    <cellStyle name="Comma 4 3 3 2 4 3" xfId="8351" xr:uid="{6A3D61C0-F01E-4E5E-B8D0-DB5803F122AC}"/>
    <cellStyle name="Comma 4 3 3 2 5" xfId="4462" xr:uid="{BA36B249-EB9E-4A95-9F09-BAAFA58E663C}"/>
    <cellStyle name="Comma 4 3 3 2 5 2" xfId="6691" xr:uid="{C575FC07-25A7-450D-B8B1-5944CFC43967}"/>
    <cellStyle name="Comma 4 3 3 2 5 2 2" xfId="10909" xr:uid="{76935FB4-7256-455B-A2B4-09B23ED54D6B}"/>
    <cellStyle name="Comma 4 3 3 2 5 3" xfId="8764" xr:uid="{46754ECC-752B-447D-B418-5DAE3E8768F4}"/>
    <cellStyle name="Comma 4 3 3 2 6" xfId="4897" xr:uid="{916C0EB2-3AF7-4401-B9CD-B78A9815C031}"/>
    <cellStyle name="Comma 4 3 3 2 6 2" xfId="9177" xr:uid="{8A4F989C-1261-46B6-91FB-33A90C3F364E}"/>
    <cellStyle name="Comma 4 3 3 2 7" xfId="4854" xr:uid="{F32516B8-0332-4184-AF10-F1C94AD9F1F4}"/>
    <cellStyle name="Comma 4 3 3 2 8" xfId="5275" xr:uid="{22B9A947-5630-4FD1-A376-C3CF9A4585AC}"/>
    <cellStyle name="Comma 4 3 3 2 8 2" xfId="9494" xr:uid="{B959E606-C031-43EC-9251-26E4AF0626E1}"/>
    <cellStyle name="Comma 4 3 3 2 9" xfId="7111" xr:uid="{9D8A2A75-2536-4B57-A617-BA61F186ECC3}"/>
    <cellStyle name="Comma 4 3 3 3" xfId="694" xr:uid="{00000000-0005-0000-0000-00000B010000}"/>
    <cellStyle name="Comma 4 3 3 3 2" xfId="5451" xr:uid="{37E7A1ED-7681-4154-A223-DC8F8F96A52C}"/>
    <cellStyle name="Comma 4 3 3 3 2 2" xfId="9669" xr:uid="{47609317-445F-4EF4-9606-A6C64AF7FF7F}"/>
    <cellStyle name="Comma 4 3 3 3 3" xfId="7524" xr:uid="{162E2DF5-6651-4966-AE42-B039184952A1}"/>
    <cellStyle name="Comma 4 3 3 3 4" xfId="3220" xr:uid="{7E6744DD-CCB6-49C1-B3E1-08EFE66AEFFE}"/>
    <cellStyle name="Comma 4 3 3 3 5" xfId="2393" xr:uid="{0331AE75-B7F2-4AAC-8040-67CA3E97F67F}"/>
    <cellStyle name="Comma 4 3 3 3 6" xfId="1564" xr:uid="{C90690A0-2429-4854-AA60-7D235FDD0371}"/>
    <cellStyle name="Comma 4 3 3 4" xfId="3635" xr:uid="{D3677E80-DB08-4981-B90F-0E7B4B453F8F}"/>
    <cellStyle name="Comma 4 3 3 4 2" xfId="5864" xr:uid="{7BC648F3-7387-4870-A93C-AE79FE415B8E}"/>
    <cellStyle name="Comma 4 3 3 4 2 2" xfId="10082" xr:uid="{EE0E6925-C95D-4C82-94DA-1A066DD0EC1B}"/>
    <cellStyle name="Comma 4 3 3 4 3" xfId="7937" xr:uid="{7E9C5B43-0293-4560-9854-98227030FB93}"/>
    <cellStyle name="Comma 4 3 3 5" xfId="4048" xr:uid="{BDFC9F65-323C-41A1-BDE4-641EA661A6B3}"/>
    <cellStyle name="Comma 4 3 3 5 2" xfId="6277" xr:uid="{23967DA5-DF03-4A24-8B7E-020C2E6A637D}"/>
    <cellStyle name="Comma 4 3 3 5 2 2" xfId="10495" xr:uid="{A1E231A3-483B-420D-BED1-7F956C4D80B4}"/>
    <cellStyle name="Comma 4 3 3 5 3" xfId="8350" xr:uid="{2503873F-F820-4D61-B20D-195A4D536A74}"/>
    <cellStyle name="Comma 4 3 3 6" xfId="4461" xr:uid="{E2EDB67E-B646-4D6E-9C75-B5302E71BA2A}"/>
    <cellStyle name="Comma 4 3 3 6 2" xfId="6690" xr:uid="{C68DF2DA-6F00-4A9A-A478-1F56400A0432}"/>
    <cellStyle name="Comma 4 3 3 6 2 2" xfId="10908" xr:uid="{180BB9C8-C130-4BD9-A21B-E4728B82F1F4}"/>
    <cellStyle name="Comma 4 3 3 6 3" xfId="8763" xr:uid="{D3F1969F-7992-4FF7-8446-A754518EC242}"/>
    <cellStyle name="Comma 4 3 3 7" xfId="4896" xr:uid="{54DE3807-E280-45C6-A166-C1E911DD9656}"/>
    <cellStyle name="Comma 4 3 3 7 2" xfId="9176" xr:uid="{6E0F4041-3662-4B09-8BF0-A1D5A5B6D433}"/>
    <cellStyle name="Comma 4 3 3 8" xfId="4855" xr:uid="{C7D3B820-A51E-4924-B458-C9D66BB48988}"/>
    <cellStyle name="Comma 4 3 3 9" xfId="5274" xr:uid="{1B6C1E2A-8CD6-4830-AC68-6139C889712B}"/>
    <cellStyle name="Comma 4 3 3 9 2" xfId="9493" xr:uid="{D56A6DC0-8B37-48F0-AA07-99A765262234}"/>
    <cellStyle name="Comma 4 3 4" xfId="151" xr:uid="{00000000-0005-0000-0000-00000C010000}"/>
    <cellStyle name="Comma 4 3 4 10" xfId="2808" xr:uid="{78D8348D-6829-4523-A4FF-8629DF1B5019}"/>
    <cellStyle name="Comma 4 3 4 11" xfId="1979" xr:uid="{88941F40-52D2-4C52-9237-F23F986B6F89}"/>
    <cellStyle name="Comma 4 3 4 12" xfId="1150" xr:uid="{8ECC40D1-C27C-4764-8EB6-C6C1411E4DAE}"/>
    <cellStyle name="Comma 4 3 4 2" xfId="696" xr:uid="{00000000-0005-0000-0000-00000D010000}"/>
    <cellStyle name="Comma 4 3 4 2 2" xfId="5453" xr:uid="{FC7D49E5-B5C2-4287-9889-84701F2E19D9}"/>
    <cellStyle name="Comma 4 3 4 2 2 2" xfId="9671" xr:uid="{00212648-ABDE-42EF-AA3B-567642D3103F}"/>
    <cellStyle name="Comma 4 3 4 2 3" xfId="7526" xr:uid="{F6FD87B5-B202-484C-8467-34B4F86B285D}"/>
    <cellStyle name="Comma 4 3 4 2 4" xfId="3222" xr:uid="{EE620C2A-B908-4777-BD12-8EB108F55D01}"/>
    <cellStyle name="Comma 4 3 4 2 5" xfId="2395" xr:uid="{DECAEA89-7CCC-4397-898F-A246A290BC88}"/>
    <cellStyle name="Comma 4 3 4 2 6" xfId="1566" xr:uid="{FAED9253-4342-4766-81D9-26F91BF9B802}"/>
    <cellStyle name="Comma 4 3 4 3" xfId="3637" xr:uid="{0CF0BE0E-E0EB-49BB-BED3-EA7A523BC4AD}"/>
    <cellStyle name="Comma 4 3 4 3 2" xfId="5866" xr:uid="{52CF3D5A-BB0C-4EE2-9D8C-258CE1FC07D1}"/>
    <cellStyle name="Comma 4 3 4 3 2 2" xfId="10084" xr:uid="{E6FC114F-5E38-4CB2-85A6-89656BD74ECE}"/>
    <cellStyle name="Comma 4 3 4 3 3" xfId="7939" xr:uid="{E9971BEB-4088-410F-888A-0CFBF91DD555}"/>
    <cellStyle name="Comma 4 3 4 4" xfId="4050" xr:uid="{064F8BD3-266A-4B6E-AE22-3E5C3BFF41F1}"/>
    <cellStyle name="Comma 4 3 4 4 2" xfId="6279" xr:uid="{B4951D4E-B991-48FE-ABE5-5D741E052C72}"/>
    <cellStyle name="Comma 4 3 4 4 2 2" xfId="10497" xr:uid="{5EE8DC3D-9839-4E46-BC80-AF33E184213A}"/>
    <cellStyle name="Comma 4 3 4 4 3" xfId="8352" xr:uid="{B2E254AD-9911-4F54-BCF4-ACCCF491DDA3}"/>
    <cellStyle name="Comma 4 3 4 5" xfId="4463" xr:uid="{2890168B-3772-4ADA-809B-89F577490988}"/>
    <cellStyle name="Comma 4 3 4 5 2" xfId="6692" xr:uid="{1027BBB3-2E3B-4384-8A6A-199443DD8475}"/>
    <cellStyle name="Comma 4 3 4 5 2 2" xfId="10910" xr:uid="{D3E3C4CE-DF7E-40CB-903B-1609D7D3FB15}"/>
    <cellStyle name="Comma 4 3 4 5 3" xfId="8765" xr:uid="{196DF6DA-61C9-4603-BFD8-42E7FD1F00BD}"/>
    <cellStyle name="Comma 4 3 4 6" xfId="4898" xr:uid="{7D9262C2-4504-4A68-9096-4C7C046C1BF7}"/>
    <cellStyle name="Comma 4 3 4 6 2" xfId="9178" xr:uid="{ED34FEF2-5805-4038-97CE-A0446867D510}"/>
    <cellStyle name="Comma 4 3 4 7" xfId="5194" xr:uid="{D00C8070-A8FC-404F-A761-4E3203B25CE7}"/>
    <cellStyle name="Comma 4 3 4 8" xfId="5276" xr:uid="{9EBE36E6-C3CB-42D5-9A6A-F19FC88CD5DB}"/>
    <cellStyle name="Comma 4 3 4 8 2" xfId="9495" xr:uid="{886C6E52-B9FD-4A35-AD86-B01F85A15962}"/>
    <cellStyle name="Comma 4 3 4 9" xfId="7112" xr:uid="{AF305655-4E98-4CA1-8A07-96840C1DC5FC}"/>
    <cellStyle name="Comma 4 3 5" xfId="152" xr:uid="{00000000-0005-0000-0000-00000E010000}"/>
    <cellStyle name="Comma 4 3 5 10" xfId="2809" xr:uid="{24FCF25C-C88C-4542-B3A6-D733A89DCEAF}"/>
    <cellStyle name="Comma 4 3 5 11" xfId="1980" xr:uid="{1F71AA97-A332-45AB-BBD1-A3A71430CF5C}"/>
    <cellStyle name="Comma 4 3 5 12" xfId="1151" xr:uid="{133A6D35-9D2F-46FA-A8C7-19D22B82909F}"/>
    <cellStyle name="Comma 4 3 5 2" xfId="697" xr:uid="{00000000-0005-0000-0000-00000F010000}"/>
    <cellStyle name="Comma 4 3 5 2 2" xfId="5454" xr:uid="{1995B13D-BF05-4753-8FFB-5039F07D25E6}"/>
    <cellStyle name="Comma 4 3 5 2 2 2" xfId="9672" xr:uid="{113BE00D-481B-4CE1-8438-2DD42426E5CF}"/>
    <cellStyle name="Comma 4 3 5 2 3" xfId="7527" xr:uid="{70E2AFFD-7AC8-42E6-A407-2A146BC3C325}"/>
    <cellStyle name="Comma 4 3 5 2 4" xfId="3223" xr:uid="{543E1BBF-9F1F-4C5C-94A6-A8A2B1596832}"/>
    <cellStyle name="Comma 4 3 5 2 5" xfId="2396" xr:uid="{54AC7BB2-7F84-46F4-8FAE-C49F4C7A819E}"/>
    <cellStyle name="Comma 4 3 5 2 6" xfId="1567" xr:uid="{9D2C15BE-48A2-4020-99FC-F6618635897C}"/>
    <cellStyle name="Comma 4 3 5 3" xfId="3638" xr:uid="{5E459132-DF55-4D74-A045-E38AC33703FB}"/>
    <cellStyle name="Comma 4 3 5 3 2" xfId="5867" xr:uid="{FE989BFB-1A82-41FE-8E23-8EC9F33857BF}"/>
    <cellStyle name="Comma 4 3 5 3 2 2" xfId="10085" xr:uid="{F8C15481-080B-4F35-9CFA-2200E85CCD3C}"/>
    <cellStyle name="Comma 4 3 5 3 3" xfId="7940" xr:uid="{BA3C7612-685F-4F03-BCA6-3A44C3979B1A}"/>
    <cellStyle name="Comma 4 3 5 4" xfId="4051" xr:uid="{DC77B33B-C843-4A88-A082-57D37E757CE1}"/>
    <cellStyle name="Comma 4 3 5 4 2" xfId="6280" xr:uid="{9DFCFE59-51F3-4462-B1BB-8596845D7ED1}"/>
    <cellStyle name="Comma 4 3 5 4 2 2" xfId="10498" xr:uid="{FFF49861-940D-4AE6-A143-9F6319126CE2}"/>
    <cellStyle name="Comma 4 3 5 4 3" xfId="8353" xr:uid="{FA193D71-B1C7-44C3-8AD1-2D77431E747A}"/>
    <cellStyle name="Comma 4 3 5 5" xfId="4464" xr:uid="{38941254-0F9F-4C8A-BE59-E9AE3DB11200}"/>
    <cellStyle name="Comma 4 3 5 5 2" xfId="6693" xr:uid="{A960C95F-DEA2-461F-97B1-5FDA2AC39DB3}"/>
    <cellStyle name="Comma 4 3 5 5 2 2" xfId="10911" xr:uid="{DDAEE968-3516-4EAA-80BC-E5C01858D168}"/>
    <cellStyle name="Comma 4 3 5 5 3" xfId="8766" xr:uid="{FABBC08E-B546-4A07-B51D-BA55DA88E111}"/>
    <cellStyle name="Comma 4 3 5 6" xfId="4899" xr:uid="{5D831B3A-B4D0-4DD2-BA26-1A438A6D6D2D}"/>
    <cellStyle name="Comma 4 3 5 6 2" xfId="9179" xr:uid="{CAF01784-683C-4795-B62E-A5D0D3EAA663}"/>
    <cellStyle name="Comma 4 3 5 7" xfId="5195" xr:uid="{71A416C0-2173-4607-826F-60DDF8D9FAA6}"/>
    <cellStyle name="Comma 4 3 5 8" xfId="5277" xr:uid="{62E1A313-A230-4BB4-B9EA-B58B94E21300}"/>
    <cellStyle name="Comma 4 3 5 8 2" xfId="9496" xr:uid="{B1CAF3CD-5305-481E-809B-14597C91A60D}"/>
    <cellStyle name="Comma 4 3 5 9" xfId="7113" xr:uid="{C42D9A0D-0A40-425A-B270-EFD894431271}"/>
    <cellStyle name="Comma 4 4" xfId="153" xr:uid="{00000000-0005-0000-0000-000010010000}"/>
    <cellStyle name="Comma 4 4 10" xfId="5278" xr:uid="{49CDC266-4732-4144-9468-486783FD3D99}"/>
    <cellStyle name="Comma 4 4 10 2" xfId="9497" xr:uid="{0CFCD8CA-AAC7-4A17-B6B8-358EC5762832}"/>
    <cellStyle name="Comma 4 4 11" xfId="7114" xr:uid="{BB389C3A-7A39-455E-950D-3E762B568FC3}"/>
    <cellStyle name="Comma 4 4 12" xfId="2810" xr:uid="{69EA5912-2C3D-444D-BC6A-0EA3E9CCC4A6}"/>
    <cellStyle name="Comma 4 4 13" xfId="1981" xr:uid="{DD276215-6AF0-417B-9447-FA3E02293D9C}"/>
    <cellStyle name="Comma 4 4 14" xfId="1152" xr:uid="{D90182FB-1484-4BCE-8CBF-16227792B05C}"/>
    <cellStyle name="Comma 4 4 2" xfId="154" xr:uid="{00000000-0005-0000-0000-000011010000}"/>
    <cellStyle name="Comma 4 4 2 10" xfId="7115" xr:uid="{C0E67EA8-7B6F-4465-BBCF-A7839969C8FE}"/>
    <cellStyle name="Comma 4 4 2 11" xfId="2811" xr:uid="{7C3FF098-1E9C-4A27-ACE3-1881531A7AC4}"/>
    <cellStyle name="Comma 4 4 2 12" xfId="1982" xr:uid="{748163B8-CA11-4876-B211-02D6C690D7DF}"/>
    <cellStyle name="Comma 4 4 2 13" xfId="1153" xr:uid="{21370708-AD67-4CCB-8829-FF9F20B03F77}"/>
    <cellStyle name="Comma 4 4 2 2" xfId="155" xr:uid="{00000000-0005-0000-0000-000012010000}"/>
    <cellStyle name="Comma 4 4 2 2 10" xfId="2812" xr:uid="{A600B1DB-04F1-4364-8192-169E54E6C547}"/>
    <cellStyle name="Comma 4 4 2 2 11" xfId="1983" xr:uid="{997F0E8A-890C-4C1C-8EA9-53D9CC98CD2B}"/>
    <cellStyle name="Comma 4 4 2 2 12" xfId="1154" xr:uid="{0593E27D-BAC6-44FB-B749-4FEC03A066B2}"/>
    <cellStyle name="Comma 4 4 2 2 2" xfId="700" xr:uid="{00000000-0005-0000-0000-000013010000}"/>
    <cellStyle name="Comma 4 4 2 2 2 2" xfId="5457" xr:uid="{82F68868-705D-40B5-8E1D-FD934205E229}"/>
    <cellStyle name="Comma 4 4 2 2 2 2 2" xfId="9675" xr:uid="{5756F184-3D6A-45BB-97F1-5EC9C062E73B}"/>
    <cellStyle name="Comma 4 4 2 2 2 3" xfId="7530" xr:uid="{F7C130E8-84C7-4CFC-ACB5-5CB421C1BE3A}"/>
    <cellStyle name="Comma 4 4 2 2 2 4" xfId="3226" xr:uid="{8A87A941-BAEA-4141-8C82-7F0C4169659C}"/>
    <cellStyle name="Comma 4 4 2 2 2 5" xfId="2399" xr:uid="{1CE1522D-5F80-4E3F-8230-2D2DE176CF79}"/>
    <cellStyle name="Comma 4 4 2 2 2 6" xfId="1570" xr:uid="{3C9CE52B-A7DF-4819-97D4-93DCBA8DDFEC}"/>
    <cellStyle name="Comma 4 4 2 2 3" xfId="3641" xr:uid="{2EA24B30-92C8-4168-A519-977559C9F6FE}"/>
    <cellStyle name="Comma 4 4 2 2 3 2" xfId="5870" xr:uid="{A0867E9E-8F3D-44EE-9AE3-8E7227B6A609}"/>
    <cellStyle name="Comma 4 4 2 2 3 2 2" xfId="10088" xr:uid="{89DEA2A0-CCDA-4570-A4BB-196B2FE52A6D}"/>
    <cellStyle name="Comma 4 4 2 2 3 3" xfId="7943" xr:uid="{61B80EF6-430B-4281-B585-3C8E2100D1AA}"/>
    <cellStyle name="Comma 4 4 2 2 4" xfId="4054" xr:uid="{57001856-7B03-423C-8A87-CA4C4AC82CEB}"/>
    <cellStyle name="Comma 4 4 2 2 4 2" xfId="6283" xr:uid="{82F025CA-3FB2-4FF4-8C3C-5CFAFC320ECE}"/>
    <cellStyle name="Comma 4 4 2 2 4 2 2" xfId="10501" xr:uid="{1C604692-23E9-41A9-8427-5B14B0579FC3}"/>
    <cellStyle name="Comma 4 4 2 2 4 3" xfId="8356" xr:uid="{8C1A6CC8-15FE-444E-9C85-7AE7A08B3990}"/>
    <cellStyle name="Comma 4 4 2 2 5" xfId="4467" xr:uid="{35E483ED-6E12-4078-8119-410CEC71582A}"/>
    <cellStyle name="Comma 4 4 2 2 5 2" xfId="6696" xr:uid="{A78E305D-6C2F-4C81-BAFC-FDF208CC5718}"/>
    <cellStyle name="Comma 4 4 2 2 5 2 2" xfId="10914" xr:uid="{CDB31E26-379C-4E36-9AF6-28FE6E87F646}"/>
    <cellStyle name="Comma 4 4 2 2 5 3" xfId="8769" xr:uid="{B34EF48A-C3B9-4EB9-BC4B-5A485525FBC0}"/>
    <cellStyle name="Comma 4 4 2 2 6" xfId="4902" xr:uid="{15C8C0D8-9B72-4367-8B1A-CE90675A45B3}"/>
    <cellStyle name="Comma 4 4 2 2 6 2" xfId="9182" xr:uid="{8E87E2FA-71BF-4F14-80D1-49489661FE41}"/>
    <cellStyle name="Comma 4 4 2 2 7" xfId="5198" xr:uid="{569A8F5C-8867-4181-966B-3CCEA420CD66}"/>
    <cellStyle name="Comma 4 4 2 2 8" xfId="5280" xr:uid="{83ED9ACC-9715-40E3-9092-F0ECBB6ADEF6}"/>
    <cellStyle name="Comma 4 4 2 2 8 2" xfId="9499" xr:uid="{D16E67D5-9568-4C48-8C4C-4B65B9454023}"/>
    <cellStyle name="Comma 4 4 2 2 9" xfId="7116" xr:uid="{16FD88D7-F504-4C53-9B22-C7770E64918D}"/>
    <cellStyle name="Comma 4 4 2 3" xfId="699" xr:uid="{00000000-0005-0000-0000-000014010000}"/>
    <cellStyle name="Comma 4 4 2 3 2" xfId="5456" xr:uid="{43BB042C-F3FC-44C0-A25C-440090904CDF}"/>
    <cellStyle name="Comma 4 4 2 3 2 2" xfId="9674" xr:uid="{9DB31376-ACA6-4DA0-B39A-1748D419B178}"/>
    <cellStyle name="Comma 4 4 2 3 3" xfId="7529" xr:uid="{EC4DB5E0-22E1-4A97-9441-8F9D56B2EF0F}"/>
    <cellStyle name="Comma 4 4 2 3 4" xfId="3225" xr:uid="{CBD7A7F6-EC72-44B9-B36D-CE67102F57A8}"/>
    <cellStyle name="Comma 4 4 2 3 5" xfId="2398" xr:uid="{E63D4005-D1A4-4AF7-B367-B1AF1BFC7A0C}"/>
    <cellStyle name="Comma 4 4 2 3 6" xfId="1569" xr:uid="{0E872E61-9452-421C-8088-9AF8159E3B51}"/>
    <cellStyle name="Comma 4 4 2 4" xfId="3640" xr:uid="{9D973D86-D87E-488E-AB9D-8B7B285CDCE9}"/>
    <cellStyle name="Comma 4 4 2 4 2" xfId="5869" xr:uid="{12D0803D-55C0-4BFD-B208-33125B401286}"/>
    <cellStyle name="Comma 4 4 2 4 2 2" xfId="10087" xr:uid="{57AB86C2-FA39-4980-94A0-FF4C7B7943DC}"/>
    <cellStyle name="Comma 4 4 2 4 3" xfId="7942" xr:uid="{6BB14335-4326-4A47-B2EA-E22AAFAD1B61}"/>
    <cellStyle name="Comma 4 4 2 5" xfId="4053" xr:uid="{A56CCD44-027F-4544-BD60-E032E7018B80}"/>
    <cellStyle name="Comma 4 4 2 5 2" xfId="6282" xr:uid="{91C9697D-929A-4589-BFC2-0B2DBBFB7E5B}"/>
    <cellStyle name="Comma 4 4 2 5 2 2" xfId="10500" xr:uid="{B7B1442F-83AA-4DFA-AF53-CB06FAC6A77F}"/>
    <cellStyle name="Comma 4 4 2 5 3" xfId="8355" xr:uid="{EF9AF323-F0D7-4D1B-938F-60542019E494}"/>
    <cellStyle name="Comma 4 4 2 6" xfId="4466" xr:uid="{3E4CE6CD-E718-458D-BF8C-8514F505E2A3}"/>
    <cellStyle name="Comma 4 4 2 6 2" xfId="6695" xr:uid="{F412D096-A02E-4A37-AF6F-17C63A93FD68}"/>
    <cellStyle name="Comma 4 4 2 6 2 2" xfId="10913" xr:uid="{565CE16E-3975-4679-85B3-9F4FDE12E222}"/>
    <cellStyle name="Comma 4 4 2 6 3" xfId="8768" xr:uid="{F4A73B9F-DEE8-4150-8BC2-DF89287BD5F3}"/>
    <cellStyle name="Comma 4 4 2 7" xfId="4901" xr:uid="{916727FF-B31D-4AA2-80ED-154173C5A8C0}"/>
    <cellStyle name="Comma 4 4 2 7 2" xfId="9181" xr:uid="{49F7AB54-5367-4FD9-905F-C2BB9B61F9AD}"/>
    <cellStyle name="Comma 4 4 2 8" xfId="5197" xr:uid="{21FF0E36-2263-4E07-AB82-BC7D22B8257C}"/>
    <cellStyle name="Comma 4 4 2 9" xfId="5279" xr:uid="{6405B7E5-987B-46CA-AC6D-CDB041B6BD3D}"/>
    <cellStyle name="Comma 4 4 2 9 2" xfId="9498" xr:uid="{54EF3C53-6012-4B12-AA98-D6CCB9D91A5B}"/>
    <cellStyle name="Comma 4 4 3" xfId="156" xr:uid="{00000000-0005-0000-0000-000015010000}"/>
    <cellStyle name="Comma 4 4 3 10" xfId="2813" xr:uid="{DCFDEC0D-5D69-49D8-8B76-52255F3CBE55}"/>
    <cellStyle name="Comma 4 4 3 11" xfId="1984" xr:uid="{1D6CCCC8-51A1-4F4C-9400-9C7C210CAF07}"/>
    <cellStyle name="Comma 4 4 3 12" xfId="1155" xr:uid="{B9D86981-99A3-41CB-9FDD-CFA9F620D9BA}"/>
    <cellStyle name="Comma 4 4 3 2" xfId="701" xr:uid="{00000000-0005-0000-0000-000016010000}"/>
    <cellStyle name="Comma 4 4 3 2 2" xfId="5458" xr:uid="{93CB876F-2723-4CD9-ADCB-2AC5A8B1B717}"/>
    <cellStyle name="Comma 4 4 3 2 2 2" xfId="9676" xr:uid="{6D6217CF-3C3B-4AD9-8DD7-6CD8D8417AF0}"/>
    <cellStyle name="Comma 4 4 3 2 3" xfId="7531" xr:uid="{87AA1D73-1573-4273-BB41-AB290B81AF2D}"/>
    <cellStyle name="Comma 4 4 3 2 4" xfId="3227" xr:uid="{8F57E111-2A0E-4B28-A526-98C8120A684F}"/>
    <cellStyle name="Comma 4 4 3 2 5" xfId="2400" xr:uid="{EC49F500-0935-45E5-8CF6-E641493AA672}"/>
    <cellStyle name="Comma 4 4 3 2 6" xfId="1571" xr:uid="{D0156578-F7F0-4F78-AF44-9B6D664F5DC8}"/>
    <cellStyle name="Comma 4 4 3 3" xfId="3642" xr:uid="{1CF5B4A3-75B4-4161-84F2-7C4502DA0E6E}"/>
    <cellStyle name="Comma 4 4 3 3 2" xfId="5871" xr:uid="{B572B95F-C820-44DA-A78E-2D239467662C}"/>
    <cellStyle name="Comma 4 4 3 3 2 2" xfId="10089" xr:uid="{5423D5C3-76F7-49EA-A66E-4EEF0CE4CD70}"/>
    <cellStyle name="Comma 4 4 3 3 3" xfId="7944" xr:uid="{BB46DA56-A282-401A-8173-79CE0C750FB4}"/>
    <cellStyle name="Comma 4 4 3 4" xfId="4055" xr:uid="{9C9A6C39-57A7-46C7-A97F-F9CDE85B3D32}"/>
    <cellStyle name="Comma 4 4 3 4 2" xfId="6284" xr:uid="{D0406626-9656-4678-92E0-A57071ABD984}"/>
    <cellStyle name="Comma 4 4 3 4 2 2" xfId="10502" xr:uid="{9EEFD8C8-9238-497A-88B2-B09CED8C9432}"/>
    <cellStyle name="Comma 4 4 3 4 3" xfId="8357" xr:uid="{0FCAF718-C003-4D56-A38E-5E254E32BB66}"/>
    <cellStyle name="Comma 4 4 3 5" xfId="4468" xr:uid="{C4B6FE0E-BB79-4F07-9E4D-EFBD32A52013}"/>
    <cellStyle name="Comma 4 4 3 5 2" xfId="6697" xr:uid="{2CFEE426-A7AC-4B0A-8314-B7B96A3C75B6}"/>
    <cellStyle name="Comma 4 4 3 5 2 2" xfId="10915" xr:uid="{B3454A25-031A-452D-A6A3-6049B80F1F2C}"/>
    <cellStyle name="Comma 4 4 3 5 3" xfId="8770" xr:uid="{774EF5CD-4554-4E9A-B710-E09F6121565B}"/>
    <cellStyle name="Comma 4 4 3 6" xfId="4903" xr:uid="{17A5E6F8-7FB5-434A-8ED1-828EEE154177}"/>
    <cellStyle name="Comma 4 4 3 6 2" xfId="9183" xr:uid="{1D7523AB-09CC-40C3-8788-D459AB572CEC}"/>
    <cellStyle name="Comma 4 4 3 7" xfId="5199" xr:uid="{4B95E3BA-BD76-4DFB-9211-DB7704FE45F1}"/>
    <cellStyle name="Comma 4 4 3 8" xfId="5281" xr:uid="{BCB67D12-A432-4D39-AE23-E648A65F33FC}"/>
    <cellStyle name="Comma 4 4 3 8 2" xfId="9500" xr:uid="{0FED5FFE-930F-48F4-BDEE-0120E5A7707A}"/>
    <cellStyle name="Comma 4 4 3 9" xfId="7117" xr:uid="{310D70C6-36C6-459A-8C88-FC2D43FA9573}"/>
    <cellStyle name="Comma 4 4 4" xfId="698" xr:uid="{00000000-0005-0000-0000-000017010000}"/>
    <cellStyle name="Comma 4 4 4 2" xfId="5455" xr:uid="{191AFEDF-7A2B-4CB8-8525-56CD98FA5115}"/>
    <cellStyle name="Comma 4 4 4 2 2" xfId="9673" xr:uid="{1931F6B8-F991-4E9E-83F0-6D1CF9BA707A}"/>
    <cellStyle name="Comma 4 4 4 3" xfId="7528" xr:uid="{EADA3353-1EE3-4233-936C-8714434FA379}"/>
    <cellStyle name="Comma 4 4 4 4" xfId="3224" xr:uid="{3C87EDDB-1BB7-4AE5-B86C-F4E7DD44ACDE}"/>
    <cellStyle name="Comma 4 4 4 5" xfId="2397" xr:uid="{872DAE99-3AF7-4C8A-B87A-311B9B01E5EB}"/>
    <cellStyle name="Comma 4 4 4 6" xfId="1568" xr:uid="{EB423F7E-CEA6-47F7-B5DE-84538FF1E48C}"/>
    <cellStyle name="Comma 4 4 5" xfId="3639" xr:uid="{D4D81CDB-A2B2-486E-B1AF-A04BFD73D268}"/>
    <cellStyle name="Comma 4 4 5 2" xfId="5868" xr:uid="{FCCF977E-D03C-40FD-AC96-1197DB7B61CC}"/>
    <cellStyle name="Comma 4 4 5 2 2" xfId="10086" xr:uid="{FEBE637C-DB34-43CE-A426-839429C2512B}"/>
    <cellStyle name="Comma 4 4 5 3" xfId="7941" xr:uid="{AB3E4C63-2814-462B-A9FA-54869585005A}"/>
    <cellStyle name="Comma 4 4 6" xfId="4052" xr:uid="{3571FE2B-7DAB-4177-849F-CEA8B823E636}"/>
    <cellStyle name="Comma 4 4 6 2" xfId="6281" xr:uid="{0D02BED1-1679-420F-87E3-E4F8B84C8925}"/>
    <cellStyle name="Comma 4 4 6 2 2" xfId="10499" xr:uid="{5348E501-C156-4EEE-BB34-C47530143D25}"/>
    <cellStyle name="Comma 4 4 6 3" xfId="8354" xr:uid="{50A0371E-87C2-471F-BD64-0129A3686070}"/>
    <cellStyle name="Comma 4 4 7" xfId="4465" xr:uid="{90F5F386-FD35-4F6F-A7C8-7439D1726F3B}"/>
    <cellStyle name="Comma 4 4 7 2" xfId="6694" xr:uid="{AC244AC8-5581-4922-A33D-A126ABB4D50E}"/>
    <cellStyle name="Comma 4 4 7 2 2" xfId="10912" xr:uid="{F698F05D-9230-4FE3-902F-9E4E68CB8DE9}"/>
    <cellStyle name="Comma 4 4 7 3" xfId="8767" xr:uid="{D95DEF46-B8F4-482C-8052-2BC09CF69ACB}"/>
    <cellStyle name="Comma 4 4 8" xfId="4900" xr:uid="{EC33B825-1734-4D66-A708-BBBAA7F975BA}"/>
    <cellStyle name="Comma 4 4 8 2" xfId="9180" xr:uid="{B10F8189-6FCC-4B61-8FA8-20BDF45C40D4}"/>
    <cellStyle name="Comma 4 4 9" xfId="5196" xr:uid="{188DCE9D-2B50-4BB4-92BE-F2EC27688626}"/>
    <cellStyle name="Comma 4 5" xfId="157" xr:uid="{00000000-0005-0000-0000-000018010000}"/>
    <cellStyle name="Comma 4 5 10" xfId="7118" xr:uid="{4787C151-0D42-447B-B374-575A6C843FE6}"/>
    <cellStyle name="Comma 4 5 11" xfId="2814" xr:uid="{891420E0-C271-4F9B-831D-218201DCCD0F}"/>
    <cellStyle name="Comma 4 5 12" xfId="1985" xr:uid="{D21A67E4-6083-4027-B34E-6BE4B60EAEF7}"/>
    <cellStyle name="Comma 4 5 13" xfId="1156" xr:uid="{9B5FCD16-F2B9-49C2-873E-4E6AD35EA0B1}"/>
    <cellStyle name="Comma 4 5 2" xfId="158" xr:uid="{00000000-0005-0000-0000-000019010000}"/>
    <cellStyle name="Comma 4 5 2 10" xfId="2815" xr:uid="{7CAEA58C-4AB3-4753-8746-69756B1FA97D}"/>
    <cellStyle name="Comma 4 5 2 11" xfId="1986" xr:uid="{2C02B60D-0850-4C07-A07F-030A3DD92F72}"/>
    <cellStyle name="Comma 4 5 2 12" xfId="1157" xr:uid="{78D5B30C-AA30-4C4E-85E1-7127B937201F}"/>
    <cellStyle name="Comma 4 5 2 2" xfId="703" xr:uid="{00000000-0005-0000-0000-00001A010000}"/>
    <cellStyle name="Comma 4 5 2 2 2" xfId="5460" xr:uid="{B29F7EA7-7772-4FE7-A688-70FED0CA2BC6}"/>
    <cellStyle name="Comma 4 5 2 2 2 2" xfId="9678" xr:uid="{2A4FD59D-ADCD-4103-9890-B1A849EF9915}"/>
    <cellStyle name="Comma 4 5 2 2 3" xfId="7533" xr:uid="{8E479332-0F9D-4635-92A5-7FB77050A33B}"/>
    <cellStyle name="Comma 4 5 2 2 4" xfId="3229" xr:uid="{30A36F90-D0B6-4DFF-B315-DE52450A5BF4}"/>
    <cellStyle name="Comma 4 5 2 2 5" xfId="2402" xr:uid="{77C4C489-23E9-4B57-93E1-02A4D9B90208}"/>
    <cellStyle name="Comma 4 5 2 2 6" xfId="1573" xr:uid="{EAB4907B-590F-415A-BBB8-D5469FC73E1E}"/>
    <cellStyle name="Comma 4 5 2 3" xfId="3644" xr:uid="{40C8EE2B-6831-4B53-BEFC-DC01B194B6FA}"/>
    <cellStyle name="Comma 4 5 2 3 2" xfId="5873" xr:uid="{28AF817B-6845-4801-896D-41EE9D05100F}"/>
    <cellStyle name="Comma 4 5 2 3 2 2" xfId="10091" xr:uid="{9CF676C3-0185-4CF8-9A09-B898E01190EC}"/>
    <cellStyle name="Comma 4 5 2 3 3" xfId="7946" xr:uid="{4F134009-397B-4A86-BDD1-AD7E95EEBA0C}"/>
    <cellStyle name="Comma 4 5 2 4" xfId="4057" xr:uid="{A5104B70-AE11-4668-8687-7E3F78542834}"/>
    <cellStyle name="Comma 4 5 2 4 2" xfId="6286" xr:uid="{B95FE1D4-A5D2-4C42-A57B-83BB5463979D}"/>
    <cellStyle name="Comma 4 5 2 4 2 2" xfId="10504" xr:uid="{CCB4787F-AC93-4A31-89BF-D5EDC16BCB69}"/>
    <cellStyle name="Comma 4 5 2 4 3" xfId="8359" xr:uid="{9DA68CF3-E81D-4E9B-BB9C-99690397645D}"/>
    <cellStyle name="Comma 4 5 2 5" xfId="4470" xr:uid="{BAABA40C-55D3-47D7-93D0-4692029DA34B}"/>
    <cellStyle name="Comma 4 5 2 5 2" xfId="6699" xr:uid="{C6C07BD7-88B6-4C9D-8FAD-CA1C228B9CD6}"/>
    <cellStyle name="Comma 4 5 2 5 2 2" xfId="10917" xr:uid="{B439E955-8D3A-41B9-880C-AF4B626C6FD1}"/>
    <cellStyle name="Comma 4 5 2 5 3" xfId="8772" xr:uid="{5D484338-5F2A-4CD0-B425-E3CFE818EB57}"/>
    <cellStyle name="Comma 4 5 2 6" xfId="4905" xr:uid="{D1DA937A-DDF8-43E8-ACBA-A1B049F97B5E}"/>
    <cellStyle name="Comma 4 5 2 6 2" xfId="9185" xr:uid="{6A01EA6D-E99D-4395-9261-7CA27D7EB7B3}"/>
    <cellStyle name="Comma 4 5 2 7" xfId="5201" xr:uid="{02650DE2-2C6C-4505-B725-A8019E3DA6C2}"/>
    <cellStyle name="Comma 4 5 2 8" xfId="5283" xr:uid="{D278CBA2-B344-4282-91BE-2368A31F3D18}"/>
    <cellStyle name="Comma 4 5 2 8 2" xfId="9502" xr:uid="{3C45A2BD-9F45-49D0-ADC2-DDEC19D53B92}"/>
    <cellStyle name="Comma 4 5 2 9" xfId="7119" xr:uid="{CE04BBCA-A4FC-4463-80CF-E7AF760C2B92}"/>
    <cellStyle name="Comma 4 5 3" xfId="702" xr:uid="{00000000-0005-0000-0000-00001B010000}"/>
    <cellStyle name="Comma 4 5 3 2" xfId="5459" xr:uid="{F471AB17-D1C1-4A42-84BF-53EFC79D7BEA}"/>
    <cellStyle name="Comma 4 5 3 2 2" xfId="9677" xr:uid="{F1BE7DC3-C738-4607-BEA2-50A8EF52D2DD}"/>
    <cellStyle name="Comma 4 5 3 3" xfId="7532" xr:uid="{42CBA9FA-50E6-43C5-9A9E-3967CD9B853B}"/>
    <cellStyle name="Comma 4 5 3 4" xfId="3228" xr:uid="{DED84599-3E4A-481D-ABBA-486F6312C583}"/>
    <cellStyle name="Comma 4 5 3 5" xfId="2401" xr:uid="{2BBCB1C9-9DC9-4E71-8221-C2E987CB14B2}"/>
    <cellStyle name="Comma 4 5 3 6" xfId="1572" xr:uid="{E6620C0F-F0B1-4A57-BC7E-5FDA2A876FED}"/>
    <cellStyle name="Comma 4 5 4" xfId="3643" xr:uid="{CF9830DA-1398-4E58-9618-2D39BF068274}"/>
    <cellStyle name="Comma 4 5 4 2" xfId="5872" xr:uid="{F0955ADC-C6EA-44AD-A37D-1FF27B48E9CC}"/>
    <cellStyle name="Comma 4 5 4 2 2" xfId="10090" xr:uid="{2864C282-98EC-4A4F-9F6C-FE4515FD19C0}"/>
    <cellStyle name="Comma 4 5 4 3" xfId="7945" xr:uid="{ABC910F1-9837-4A65-B241-CE165492C9C2}"/>
    <cellStyle name="Comma 4 5 5" xfId="4056" xr:uid="{2360B027-5213-4A8A-AA49-D93169214FE0}"/>
    <cellStyle name="Comma 4 5 5 2" xfId="6285" xr:uid="{3982DB8C-74F7-42AE-9322-547684CA1AD0}"/>
    <cellStyle name="Comma 4 5 5 2 2" xfId="10503" xr:uid="{9A50226C-DA1E-487C-B6FF-0B43A1207081}"/>
    <cellStyle name="Comma 4 5 5 3" xfId="8358" xr:uid="{FC71D9ED-E480-44CE-8A61-2532BA8554BD}"/>
    <cellStyle name="Comma 4 5 6" xfId="4469" xr:uid="{45C4744D-C128-4F17-BB66-6AB41A6F916E}"/>
    <cellStyle name="Comma 4 5 6 2" xfId="6698" xr:uid="{945E6B32-1926-4D36-97AE-895DC890027B}"/>
    <cellStyle name="Comma 4 5 6 2 2" xfId="10916" xr:uid="{598A9446-0ED0-4857-8279-046E44CDABF1}"/>
    <cellStyle name="Comma 4 5 6 3" xfId="8771" xr:uid="{41CC128C-576D-41E3-9C26-457347EAD4C0}"/>
    <cellStyle name="Comma 4 5 7" xfId="4904" xr:uid="{4CC63D23-0D04-4187-B5DD-D0C2293CDAE9}"/>
    <cellStyle name="Comma 4 5 7 2" xfId="9184" xr:uid="{A460D248-2FFE-4619-89C1-46F0CFC39A51}"/>
    <cellStyle name="Comma 4 5 8" xfId="5200" xr:uid="{67E3AF46-4B81-4EC1-BC0B-81C33938975A}"/>
    <cellStyle name="Comma 4 5 9" xfId="5282" xr:uid="{EA3A5C38-5576-4B92-AEBC-CB47E716A18F}"/>
    <cellStyle name="Comma 4 5 9 2" xfId="9501" xr:uid="{579E6002-23A4-4F5C-B1DC-7D8B7ADB1DAA}"/>
    <cellStyle name="Comma 4 6" xfId="159" xr:uid="{00000000-0005-0000-0000-00001C010000}"/>
    <cellStyle name="Comma 4 6 10" xfId="2816" xr:uid="{BAA9FDF1-2A68-471A-977E-EA57B17D5073}"/>
    <cellStyle name="Comma 4 6 11" xfId="1987" xr:uid="{DCFCA906-BA40-46B4-9848-4BCD16F29711}"/>
    <cellStyle name="Comma 4 6 12" xfId="1158" xr:uid="{0DDFC390-B005-47D5-A132-8E0A5F279EEE}"/>
    <cellStyle name="Comma 4 6 2" xfId="704" xr:uid="{00000000-0005-0000-0000-00001D010000}"/>
    <cellStyle name="Comma 4 6 2 2" xfId="5461" xr:uid="{4D6A6925-DBA2-42A5-9C23-0A7F8A490DBE}"/>
    <cellStyle name="Comma 4 6 2 2 2" xfId="9679" xr:uid="{C028B023-DEC5-46FC-8BDF-07773CB5B295}"/>
    <cellStyle name="Comma 4 6 2 3" xfId="7534" xr:uid="{D5CA179A-EF1E-48F2-8D15-68112F398065}"/>
    <cellStyle name="Comma 4 6 2 4" xfId="3230" xr:uid="{B4EB6961-3C51-4229-85C1-6BEAA1E06C84}"/>
    <cellStyle name="Comma 4 6 2 5" xfId="2403" xr:uid="{74465A7E-AF9A-4F15-B337-7FCDF5D6B0AF}"/>
    <cellStyle name="Comma 4 6 2 6" xfId="1574" xr:uid="{FB94A711-2B88-4807-856C-52687193B12B}"/>
    <cellStyle name="Comma 4 6 3" xfId="3645" xr:uid="{F10E3F2E-10E7-46ED-9DE4-A722FDE82015}"/>
    <cellStyle name="Comma 4 6 3 2" xfId="5874" xr:uid="{0CF3065A-E68B-477D-8835-E2F5432D0EFC}"/>
    <cellStyle name="Comma 4 6 3 2 2" xfId="10092" xr:uid="{85EB3393-3073-45D5-BBD4-9F5F467D3109}"/>
    <cellStyle name="Comma 4 6 3 3" xfId="7947" xr:uid="{BE683711-2812-4E96-A77F-F4DB9493211F}"/>
    <cellStyle name="Comma 4 6 4" xfId="4058" xr:uid="{45CD874C-4DD5-4D4C-A8A1-E22AC4EFCCCA}"/>
    <cellStyle name="Comma 4 6 4 2" xfId="6287" xr:uid="{BDA2C045-7BF4-4C54-A422-2320DFC3E77B}"/>
    <cellStyle name="Comma 4 6 4 2 2" xfId="10505" xr:uid="{EC501965-66CD-40FE-98CE-A18BB8FE5C83}"/>
    <cellStyle name="Comma 4 6 4 3" xfId="8360" xr:uid="{F209A41D-4E3E-441D-8320-7BF3B1CB635D}"/>
    <cellStyle name="Comma 4 6 5" xfId="4471" xr:uid="{88568122-ACF8-4DBE-9D2E-DFDDBBE1F2D1}"/>
    <cellStyle name="Comma 4 6 5 2" xfId="6700" xr:uid="{383A246F-3DB5-4603-9AB7-A96CB334DDD8}"/>
    <cellStyle name="Comma 4 6 5 2 2" xfId="10918" xr:uid="{64E1C24F-487E-4346-B23B-73DE4500C287}"/>
    <cellStyle name="Comma 4 6 5 3" xfId="8773" xr:uid="{D07F46FF-E431-49EA-9F30-6F39D15D9612}"/>
    <cellStyle name="Comma 4 6 6" xfId="4906" xr:uid="{94FE0487-70F6-4DE1-9814-FC6A798047EC}"/>
    <cellStyle name="Comma 4 6 6 2" xfId="9186" xr:uid="{EBC0C04D-7E59-4051-B943-B70A027C375F}"/>
    <cellStyle name="Comma 4 6 7" xfId="5202" xr:uid="{7C040982-E89C-448A-BD12-A1D3CA5E8080}"/>
    <cellStyle name="Comma 4 6 8" xfId="5284" xr:uid="{4E5DD482-897D-4168-8C79-AF59C8F92108}"/>
    <cellStyle name="Comma 4 6 8 2" xfId="9503" xr:uid="{239D587F-D906-4EFE-B594-DC18FD928545}"/>
    <cellStyle name="Comma 4 6 9" xfId="7120" xr:uid="{14FB8A7B-A66E-404A-8914-30CE18F7A5E0}"/>
    <cellStyle name="Comma 4 7" xfId="160" xr:uid="{00000000-0005-0000-0000-00001E010000}"/>
    <cellStyle name="Comma 4 7 10" xfId="2817" xr:uid="{6F00DD95-D51B-43E3-84C1-CC798312F800}"/>
    <cellStyle name="Comma 4 7 11" xfId="1988" xr:uid="{56A634DD-51DB-4E05-952D-35A8199D531A}"/>
    <cellStyle name="Comma 4 7 12" xfId="1159" xr:uid="{73954707-0068-4F25-B854-09B6AC31F708}"/>
    <cellStyle name="Comma 4 7 2" xfId="705" xr:uid="{00000000-0005-0000-0000-00001F010000}"/>
    <cellStyle name="Comma 4 7 2 2" xfId="5462" xr:uid="{7C53899E-1B96-4335-8495-14D49470A68F}"/>
    <cellStyle name="Comma 4 7 2 2 2" xfId="9680" xr:uid="{2D49E95C-A939-4BF3-B72A-D63AC90C9514}"/>
    <cellStyle name="Comma 4 7 2 3" xfId="7535" xr:uid="{B6017472-BE73-44EA-A2FE-854F036057B8}"/>
    <cellStyle name="Comma 4 7 2 4" xfId="3231" xr:uid="{99DD9624-3E13-4005-A527-A9069BF778AF}"/>
    <cellStyle name="Comma 4 7 2 5" xfId="2404" xr:uid="{369A73EE-A341-4A74-A673-5E2AE6C14766}"/>
    <cellStyle name="Comma 4 7 2 6" xfId="1575" xr:uid="{44EAB230-9C71-444D-90F9-BF3238699395}"/>
    <cellStyle name="Comma 4 7 3" xfId="3646" xr:uid="{29896ACD-EB3A-433D-96A4-19AC1E62DD91}"/>
    <cellStyle name="Comma 4 7 3 2" xfId="5875" xr:uid="{295E0EDE-0395-475C-9266-EE2F8CC72F1B}"/>
    <cellStyle name="Comma 4 7 3 2 2" xfId="10093" xr:uid="{3CD14CF7-A35A-42D1-9AEC-23616BCDF2C5}"/>
    <cellStyle name="Comma 4 7 3 3" xfId="7948" xr:uid="{B9B42BCC-91E9-43F4-8876-4E1998F41155}"/>
    <cellStyle name="Comma 4 7 4" xfId="4059" xr:uid="{3464E94D-F70A-44CE-B750-B134B73176B8}"/>
    <cellStyle name="Comma 4 7 4 2" xfId="6288" xr:uid="{1B9B3B2E-82CE-428B-BB20-433E0CD4FFDD}"/>
    <cellStyle name="Comma 4 7 4 2 2" xfId="10506" xr:uid="{895BF426-0CE7-495E-86B9-FC4DB88E538F}"/>
    <cellStyle name="Comma 4 7 4 3" xfId="8361" xr:uid="{5F4F13FC-8B70-450B-9D59-7D3C9C0F66CD}"/>
    <cellStyle name="Comma 4 7 5" xfId="4472" xr:uid="{DA1B7B39-E272-4B7D-AE8B-3742A06292D5}"/>
    <cellStyle name="Comma 4 7 5 2" xfId="6701" xr:uid="{2749E5B0-FFEA-48C1-8305-A3A052DBEBFD}"/>
    <cellStyle name="Comma 4 7 5 2 2" xfId="10919" xr:uid="{762D7862-EDDF-46FB-88F6-D74920BAE7BE}"/>
    <cellStyle name="Comma 4 7 5 3" xfId="8774" xr:uid="{27C48825-8176-449E-BB5B-2EC30140E6EF}"/>
    <cellStyle name="Comma 4 7 6" xfId="4907" xr:uid="{77A93AC8-2BEB-4A68-89A6-4FF6BFA86232}"/>
    <cellStyle name="Comma 4 7 6 2" xfId="9187" xr:uid="{20889CE0-BE5A-4882-B7E0-E43DF028918B}"/>
    <cellStyle name="Comma 4 7 7" xfId="5203" xr:uid="{A5C67D30-3305-4594-9EA5-00B177789AEB}"/>
    <cellStyle name="Comma 4 7 8" xfId="5285" xr:uid="{1D47D85A-0DD1-497E-A0F5-0D92DC273D7E}"/>
    <cellStyle name="Comma 4 7 8 2" xfId="9504" xr:uid="{A7052A5A-8A63-480C-8DA4-9D5C643D69F5}"/>
    <cellStyle name="Comma 4 7 9" xfId="7121" xr:uid="{3489A5AC-5F8E-443B-8C33-EBCAABCF2CAB}"/>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6989" xr:uid="{E6C0727D-137F-4D68-99E7-BB107444C4C1}"/>
    <cellStyle name="Comma 7 3" xfId="2275" xr:uid="{288F9172-0778-4351-B41D-56B34B884EA6}"/>
    <cellStyle name="Comma 7 4" xfId="1446" xr:uid="{339D66F8-300C-40B5-85C0-373D00935104}"/>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3232" xr:uid="{0F4E2E87-998B-4002-959C-E98C8075919D}"/>
    <cellStyle name="Currency 13" xfId="5204" xr:uid="{8BFED021-A0E6-49B8-AA3B-3D068D788C08}"/>
    <cellStyle name="Currency 13 2" xfId="6987" xr:uid="{FB0BAD80-CEBE-49B1-8933-BC7532EF399C}"/>
    <cellStyle name="Currency 13 3" xfId="4940" xr:uid="{676A7847-BBF1-4919-A41B-CE4E111911D8}"/>
    <cellStyle name="Currency 14" xfId="6992" xr:uid="{D84920DB-EC95-4A63-A8BA-992D0F9465FA}"/>
    <cellStyle name="Currency 14 2" xfId="11206" xr:uid="{E7169F16-E303-46C5-BD7E-2D3B485C4FA8}"/>
    <cellStyle name="Currency 14 3" xfId="11209" xr:uid="{3701C61E-BF6B-42B4-8785-44F1ED9563DA}"/>
    <cellStyle name="Currency 14 3 2" xfId="11212" xr:uid="{616D52CD-16F4-4A5E-A074-870C9119E73A}"/>
    <cellStyle name="Currency 14 3 2 2" xfId="11215" xr:uid="{546FF038-5FA6-4525-A298-4A24E9014563}"/>
    <cellStyle name="Currency 14 3 2 2 2" xfId="11219" xr:uid="{2A1001DB-3998-402E-8C19-EA7753C6EB28}"/>
    <cellStyle name="Currency 14 3 2 2 2 2" xfId="11222" xr:uid="{A02637E6-9988-435A-9C9D-A3CF1A50CE9B}"/>
    <cellStyle name="Currency 16" xfId="11225" xr:uid="{3A9F6916-F6DC-481A-B15F-98ED71520004}"/>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5286" xr:uid="{5C08AF0C-8FE3-415D-9459-03FB31FD3351}"/>
    <cellStyle name="Currency 3 2 2 10 2" xfId="9505" xr:uid="{CE4FCAE0-C5E3-41E6-A59C-B12D8D9E36C7}"/>
    <cellStyle name="Currency 3 2 2 11" xfId="7122" xr:uid="{F40691F2-C02F-441E-A81F-4D552DB25C9F}"/>
    <cellStyle name="Currency 3 2 2 12" xfId="2818" xr:uid="{83425884-55E1-4271-A994-592133EC290C}"/>
    <cellStyle name="Currency 3 2 2 13" xfId="1989" xr:uid="{7DBE0701-66C7-4A1A-9696-42063A54A984}"/>
    <cellStyle name="Currency 3 2 2 14" xfId="1160" xr:uid="{BA5ED581-A11E-41F6-85FC-DFCEC9E879F3}"/>
    <cellStyle name="Currency 3 2 2 2" xfId="180" xr:uid="{00000000-0005-0000-0000-00003D010000}"/>
    <cellStyle name="Currency 3 2 2 2 10" xfId="7123" xr:uid="{1D13797E-C800-4F1E-8658-567ED266000B}"/>
    <cellStyle name="Currency 3 2 2 2 11" xfId="2819" xr:uid="{2440CC0F-A7BE-484F-8F77-093E12628253}"/>
    <cellStyle name="Currency 3 2 2 2 12" xfId="1990" xr:uid="{DDEB0CC1-4F13-40EB-B100-C1A4E8BE392F}"/>
    <cellStyle name="Currency 3 2 2 2 13" xfId="1161" xr:uid="{BC522390-359A-43B2-BD95-E43418D83BD5}"/>
    <cellStyle name="Currency 3 2 2 2 2" xfId="181" xr:uid="{00000000-0005-0000-0000-00003E010000}"/>
    <cellStyle name="Currency 3 2 2 2 2 10" xfId="2820" xr:uid="{E4C29A3B-40EB-4606-91AA-62E5B2A4287E}"/>
    <cellStyle name="Currency 3 2 2 2 2 11" xfId="1991" xr:uid="{5689BC61-B1F1-4502-89F9-25F0DBFFDFA1}"/>
    <cellStyle name="Currency 3 2 2 2 2 12" xfId="1162" xr:uid="{38118782-964D-4504-94ED-AF1AC475E3D1}"/>
    <cellStyle name="Currency 3 2 2 2 2 2" xfId="717" xr:uid="{00000000-0005-0000-0000-00003F010000}"/>
    <cellStyle name="Currency 3 2 2 2 2 2 2" xfId="5465" xr:uid="{10D97F56-B337-4325-BE35-001D2EC80882}"/>
    <cellStyle name="Currency 3 2 2 2 2 2 2 2" xfId="9683" xr:uid="{3FC327B3-BA51-4AED-BE23-B00CAAEA0B52}"/>
    <cellStyle name="Currency 3 2 2 2 2 2 3" xfId="7538" xr:uid="{17C3BAD2-FB6F-4C95-BB7D-0CFA2B66A69E}"/>
    <cellStyle name="Currency 3 2 2 2 2 2 4" xfId="3235" xr:uid="{F34AA0BD-E31C-4D61-845B-A0D47D900A65}"/>
    <cellStyle name="Currency 3 2 2 2 2 2 5" xfId="2407" xr:uid="{AAF59DE2-1A3A-40A0-A381-D1FC1A0F0E70}"/>
    <cellStyle name="Currency 3 2 2 2 2 2 6" xfId="1578" xr:uid="{5361F2B8-E91C-4964-819E-E08CCB256BB9}"/>
    <cellStyle name="Currency 3 2 2 2 2 3" xfId="3649" xr:uid="{FA399DE2-F1B3-470A-A1FD-ABED5977D1CA}"/>
    <cellStyle name="Currency 3 2 2 2 2 3 2" xfId="5878" xr:uid="{B453FB98-2AF6-4F32-8F24-3C6CDF05B36E}"/>
    <cellStyle name="Currency 3 2 2 2 2 3 2 2" xfId="10096" xr:uid="{ED4EAA52-830F-4C48-A194-EFAE7B5B9E25}"/>
    <cellStyle name="Currency 3 2 2 2 2 3 3" xfId="7951" xr:uid="{C65D7594-5441-4CBC-BEC8-0D746FC2F6D7}"/>
    <cellStyle name="Currency 3 2 2 2 2 4" xfId="4062" xr:uid="{75AABFF5-88DF-4381-B70A-016364175193}"/>
    <cellStyle name="Currency 3 2 2 2 2 4 2" xfId="6291" xr:uid="{EF09BCF8-B2EF-49FE-8C87-A3B5AAE527A3}"/>
    <cellStyle name="Currency 3 2 2 2 2 4 2 2" xfId="10509" xr:uid="{9BFEDAC8-E38F-4563-B21A-8AA2CBDA4F5B}"/>
    <cellStyle name="Currency 3 2 2 2 2 4 3" xfId="8364" xr:uid="{8D095FF0-7F1B-4901-A99F-2A2BE9D9957F}"/>
    <cellStyle name="Currency 3 2 2 2 2 5" xfId="4475" xr:uid="{5018C687-D5EF-4E3A-B84A-337243AD5566}"/>
    <cellStyle name="Currency 3 2 2 2 2 5 2" xfId="6704" xr:uid="{274D29C0-5570-4976-90F2-1C8F36CC0593}"/>
    <cellStyle name="Currency 3 2 2 2 2 5 2 2" xfId="10922" xr:uid="{DE2C0788-09F6-42F8-8FE4-E2EDFB1E9A0D}"/>
    <cellStyle name="Currency 3 2 2 2 2 5 3" xfId="8777" xr:uid="{0AC4469D-4629-46FA-A008-3BB488FB6E2C}"/>
    <cellStyle name="Currency 3 2 2 2 2 6" xfId="4910" xr:uid="{45F5F0B0-46CA-4BE4-AB14-6CCA3C33A555}"/>
    <cellStyle name="Currency 3 2 2 2 2 6 2" xfId="9190" xr:uid="{3C02FF37-B095-43FE-8CFA-37F3E5E28A9E}"/>
    <cellStyle name="Currency 3 2 2 2 2 7" xfId="5207" xr:uid="{C60C2430-0710-4CD6-B6E3-AAA35E96827E}"/>
    <cellStyle name="Currency 3 2 2 2 2 8" xfId="5288" xr:uid="{1DE6385F-44AD-416B-B3FE-B5DFF071410C}"/>
    <cellStyle name="Currency 3 2 2 2 2 8 2" xfId="9507" xr:uid="{9BA1B28C-2C08-46F7-8F7E-A67A1573703E}"/>
    <cellStyle name="Currency 3 2 2 2 2 9" xfId="7124" xr:uid="{F5E9044F-0C93-45AA-866B-2ADA60A8F809}"/>
    <cellStyle name="Currency 3 2 2 2 3" xfId="716" xr:uid="{00000000-0005-0000-0000-000040010000}"/>
    <cellStyle name="Currency 3 2 2 2 3 2" xfId="5464" xr:uid="{468EAA0C-B71E-48EA-8300-3AA06D2DBB41}"/>
    <cellStyle name="Currency 3 2 2 2 3 2 2" xfId="9682" xr:uid="{AFA5FED5-6089-481D-981E-B10FE9227C68}"/>
    <cellStyle name="Currency 3 2 2 2 3 3" xfId="7537" xr:uid="{E1AFF2AC-CD73-49D5-A7C0-291DAB180972}"/>
    <cellStyle name="Currency 3 2 2 2 3 4" xfId="3234" xr:uid="{7CC39913-AB23-4EA6-86D0-CA6AA6520B7E}"/>
    <cellStyle name="Currency 3 2 2 2 3 5" xfId="2406" xr:uid="{02DF32CC-6742-4F2B-92B6-4489FFCB1421}"/>
    <cellStyle name="Currency 3 2 2 2 3 6" xfId="1577" xr:uid="{C00B8B30-C9E8-4F86-92A7-3EFD02F61C4A}"/>
    <cellStyle name="Currency 3 2 2 2 4" xfId="3648" xr:uid="{BB5B7722-AB64-46A7-AFF5-CE9712F5A77F}"/>
    <cellStyle name="Currency 3 2 2 2 4 2" xfId="5877" xr:uid="{3FE88CAF-4DA8-4211-B554-034189F8FD22}"/>
    <cellStyle name="Currency 3 2 2 2 4 2 2" xfId="10095" xr:uid="{EE227692-1B16-4E37-B128-3679832BACFB}"/>
    <cellStyle name="Currency 3 2 2 2 4 3" xfId="7950" xr:uid="{3727967A-3A25-4D3A-87DE-285D3A8BFB31}"/>
    <cellStyle name="Currency 3 2 2 2 5" xfId="4061" xr:uid="{A2FF8FD8-B19F-41E3-9CB3-015F504BD224}"/>
    <cellStyle name="Currency 3 2 2 2 5 2" xfId="6290" xr:uid="{80E706A3-D33C-4C09-8AD8-37132F038BA8}"/>
    <cellStyle name="Currency 3 2 2 2 5 2 2" xfId="10508" xr:uid="{B3E81790-63F2-4A83-8828-3CE7ECA9A739}"/>
    <cellStyle name="Currency 3 2 2 2 5 3" xfId="8363" xr:uid="{A6DBE988-0223-42C3-BAB6-E6AAA1A691F0}"/>
    <cellStyle name="Currency 3 2 2 2 6" xfId="4474" xr:uid="{274597E3-480F-4407-B3F6-1E6DAF3B5331}"/>
    <cellStyle name="Currency 3 2 2 2 6 2" xfId="6703" xr:uid="{5B255C0D-8F77-48C9-803C-9108857C916E}"/>
    <cellStyle name="Currency 3 2 2 2 6 2 2" xfId="10921" xr:uid="{48C51C9E-7229-48B3-A487-C0D95A852973}"/>
    <cellStyle name="Currency 3 2 2 2 6 3" xfId="8776" xr:uid="{4BB652E1-42E8-48BE-97AE-03F9DB93394C}"/>
    <cellStyle name="Currency 3 2 2 2 7" xfId="4909" xr:uid="{05CBBE17-3256-4D0D-9BAD-173CE4BE4B71}"/>
    <cellStyle name="Currency 3 2 2 2 7 2" xfId="9189" xr:uid="{0B053C31-4AEE-43AD-BA7C-B712C2C28D36}"/>
    <cellStyle name="Currency 3 2 2 2 8" xfId="5206" xr:uid="{F39A4902-71A2-4DE6-B59C-D7D8E045D126}"/>
    <cellStyle name="Currency 3 2 2 2 9" xfId="5287" xr:uid="{39EF0E93-8196-42B3-82A9-810ADEC2F135}"/>
    <cellStyle name="Currency 3 2 2 2 9 2" xfId="9506" xr:uid="{E78C68AA-34E9-451A-AE06-C06F3C177A71}"/>
    <cellStyle name="Currency 3 2 2 3" xfId="182" xr:uid="{00000000-0005-0000-0000-000041010000}"/>
    <cellStyle name="Currency 3 2 2 3 10" xfId="2821" xr:uid="{4BCB6B44-C962-4F8B-8BF5-F5F8EE6AEF05}"/>
    <cellStyle name="Currency 3 2 2 3 11" xfId="1992" xr:uid="{7E4EE843-4111-4737-BB3A-1D9733E4B67F}"/>
    <cellStyle name="Currency 3 2 2 3 12" xfId="1163" xr:uid="{74792F61-171D-4FD6-A1E8-2D0797A3EBDF}"/>
    <cellStyle name="Currency 3 2 2 3 2" xfId="718" xr:uid="{00000000-0005-0000-0000-000042010000}"/>
    <cellStyle name="Currency 3 2 2 3 2 2" xfId="5466" xr:uid="{0226899B-4931-41A8-AF64-BEE87ECD9D9A}"/>
    <cellStyle name="Currency 3 2 2 3 2 2 2" xfId="9684" xr:uid="{DC60CA06-F7A0-467F-8D10-146EEA68033E}"/>
    <cellStyle name="Currency 3 2 2 3 2 3" xfId="7539" xr:uid="{F97214D1-9EC3-423D-916C-3347AB1C676D}"/>
    <cellStyle name="Currency 3 2 2 3 2 4" xfId="3236" xr:uid="{5D1EE1FF-7F20-4D32-B827-2E27EE07F589}"/>
    <cellStyle name="Currency 3 2 2 3 2 5" xfId="2408" xr:uid="{D2475AB0-65E0-49DA-972A-BDD9C78C5F1D}"/>
    <cellStyle name="Currency 3 2 2 3 2 6" xfId="1579" xr:uid="{44940058-0DDD-4779-A481-C02B5F706554}"/>
    <cellStyle name="Currency 3 2 2 3 3" xfId="3650" xr:uid="{87821D28-21D9-4C87-94E0-FF59A7B4F076}"/>
    <cellStyle name="Currency 3 2 2 3 3 2" xfId="5879" xr:uid="{78DADC9F-8A71-4605-B539-06CB258DF065}"/>
    <cellStyle name="Currency 3 2 2 3 3 2 2" xfId="10097" xr:uid="{180C029F-8ED9-4D6A-A18A-B320DEBFAE42}"/>
    <cellStyle name="Currency 3 2 2 3 3 3" xfId="7952" xr:uid="{D0E7593B-DCD5-4F3E-8260-B8E270243921}"/>
    <cellStyle name="Currency 3 2 2 3 4" xfId="4063" xr:uid="{700196E5-55D5-4602-8A4E-FB0ACE392A68}"/>
    <cellStyle name="Currency 3 2 2 3 4 2" xfId="6292" xr:uid="{35E076BF-7D8C-459E-B71C-51907A075572}"/>
    <cellStyle name="Currency 3 2 2 3 4 2 2" xfId="10510" xr:uid="{ADE32FD1-FB75-4855-808E-F5053B31CE50}"/>
    <cellStyle name="Currency 3 2 2 3 4 3" xfId="8365" xr:uid="{AA3B0812-FB72-4B23-9FA2-DF2BF2938D27}"/>
    <cellStyle name="Currency 3 2 2 3 5" xfId="4476" xr:uid="{C35B0C34-2449-4C36-A717-0CC3BBDBC6AC}"/>
    <cellStyle name="Currency 3 2 2 3 5 2" xfId="6705" xr:uid="{05EE38FE-25E8-4D4F-AD76-E8BAB136A9D1}"/>
    <cellStyle name="Currency 3 2 2 3 5 2 2" xfId="10923" xr:uid="{722615CA-E574-489D-867D-AA2B81B6DC89}"/>
    <cellStyle name="Currency 3 2 2 3 5 3" xfId="8778" xr:uid="{C5DF6515-8D4A-4485-AAE6-8A1BB673267D}"/>
    <cellStyle name="Currency 3 2 2 3 6" xfId="4911" xr:uid="{A00331E6-25CC-4EBC-A072-CBE450F748D5}"/>
    <cellStyle name="Currency 3 2 2 3 6 2" xfId="9191" xr:uid="{E0D49139-5309-4E67-A126-610ECF3C9B67}"/>
    <cellStyle name="Currency 3 2 2 3 7" xfId="5208" xr:uid="{F5C2494A-A42A-460E-9F88-85C0CADAABC4}"/>
    <cellStyle name="Currency 3 2 2 3 8" xfId="5289" xr:uid="{C09AC2D0-4A1F-4B3B-8678-B771F30DB048}"/>
    <cellStyle name="Currency 3 2 2 3 8 2" xfId="9508" xr:uid="{64242EF9-1918-4432-BC98-C356E149A824}"/>
    <cellStyle name="Currency 3 2 2 3 9" xfId="7125" xr:uid="{753AB37F-BA2C-413B-B1ED-D5AA637C4748}"/>
    <cellStyle name="Currency 3 2 2 4" xfId="715" xr:uid="{00000000-0005-0000-0000-000043010000}"/>
    <cellStyle name="Currency 3 2 2 4 2" xfId="5463" xr:uid="{63C5DF1B-85F1-443A-B9BD-9A51E1780DC3}"/>
    <cellStyle name="Currency 3 2 2 4 2 2" xfId="9681" xr:uid="{643DF54A-93DA-47FF-84E4-721C2590D26E}"/>
    <cellStyle name="Currency 3 2 2 4 3" xfId="7536" xr:uid="{C1D3B796-42A1-422A-A011-0E65718455C6}"/>
    <cellStyle name="Currency 3 2 2 4 4" xfId="3233" xr:uid="{2B9DD974-CD57-4F1F-B546-9871786C2D75}"/>
    <cellStyle name="Currency 3 2 2 4 5" xfId="2405" xr:uid="{BB58A3F2-0C05-4758-935B-01FFDD24A2A3}"/>
    <cellStyle name="Currency 3 2 2 4 6" xfId="1576" xr:uid="{532B5950-F63C-4352-BD4F-BD205901CE6C}"/>
    <cellStyle name="Currency 3 2 2 5" xfId="3647" xr:uid="{8F320E00-A2A9-484C-8C3C-87FA30187143}"/>
    <cellStyle name="Currency 3 2 2 5 2" xfId="5876" xr:uid="{9A2D9E37-7AE2-440D-89C9-6B4E9B378BF2}"/>
    <cellStyle name="Currency 3 2 2 5 2 2" xfId="10094" xr:uid="{CCDE3088-D3FB-42A6-9A26-11BE893610C2}"/>
    <cellStyle name="Currency 3 2 2 5 3" xfId="7949" xr:uid="{3EE8C239-23E7-44D6-804E-64AB4F846B0A}"/>
    <cellStyle name="Currency 3 2 2 6" xfId="4060" xr:uid="{BA0F2CC6-ED00-4480-A21E-84E98DA27047}"/>
    <cellStyle name="Currency 3 2 2 6 2" xfId="6289" xr:uid="{F7BA5295-29F3-43D9-ABB2-261F81D2CCD7}"/>
    <cellStyle name="Currency 3 2 2 6 2 2" xfId="10507" xr:uid="{FE3D0DED-07EB-4217-A80D-D3164BAC53B6}"/>
    <cellStyle name="Currency 3 2 2 6 3" xfId="8362" xr:uid="{E117CD93-B0E6-4E36-9238-E438FA08E3B5}"/>
    <cellStyle name="Currency 3 2 2 7" xfId="4473" xr:uid="{2AFC603F-B346-4BDA-917F-F2BF78E6F468}"/>
    <cellStyle name="Currency 3 2 2 7 2" xfId="6702" xr:uid="{B4C52DE5-89BE-4013-93A8-0D16042C6861}"/>
    <cellStyle name="Currency 3 2 2 7 2 2" xfId="10920" xr:uid="{B4B5ADFA-EED3-4F0C-8865-3AE63706F801}"/>
    <cellStyle name="Currency 3 2 2 7 3" xfId="8775" xr:uid="{0ADB8248-19B2-4022-8CEA-CD62BC2DF347}"/>
    <cellStyle name="Currency 3 2 2 8" xfId="4908" xr:uid="{8AAD6F45-2B3E-4E6D-A68B-26711C20CB8D}"/>
    <cellStyle name="Currency 3 2 2 8 2" xfId="9188" xr:uid="{9E758A5E-FCDA-457C-9D9E-1749F0D2DCF0}"/>
    <cellStyle name="Currency 3 2 2 9" xfId="5205" xr:uid="{FDBF01FF-05DD-42D5-BFFE-482B04C18DBC}"/>
    <cellStyle name="Currency 3 2 3" xfId="183" xr:uid="{00000000-0005-0000-0000-000044010000}"/>
    <cellStyle name="Currency 3 2 3 10" xfId="7126" xr:uid="{22B5EED9-023B-4B75-9315-0ED459F1A0F2}"/>
    <cellStyle name="Currency 3 2 3 11" xfId="2822" xr:uid="{9F095CD8-5229-4971-AF6C-B71A3669CDEF}"/>
    <cellStyle name="Currency 3 2 3 12" xfId="1993" xr:uid="{B445E7CE-4F56-4F59-BB2E-3C603361FE9E}"/>
    <cellStyle name="Currency 3 2 3 13" xfId="1164" xr:uid="{6DBFACC1-EFEF-4AEC-91B3-FE09D3E151C8}"/>
    <cellStyle name="Currency 3 2 3 2" xfId="184" xr:uid="{00000000-0005-0000-0000-000045010000}"/>
    <cellStyle name="Currency 3 2 3 2 10" xfId="2823" xr:uid="{8BE66375-BED4-423B-884F-8AC7CFCB9DAC}"/>
    <cellStyle name="Currency 3 2 3 2 11" xfId="1994" xr:uid="{2125B0B1-5374-41EE-9D78-6E40AF3E74C4}"/>
    <cellStyle name="Currency 3 2 3 2 12" xfId="1165" xr:uid="{131A6263-F00A-4403-AB61-21E8D5273E12}"/>
    <cellStyle name="Currency 3 2 3 2 2" xfId="720" xr:uid="{00000000-0005-0000-0000-000046010000}"/>
    <cellStyle name="Currency 3 2 3 2 2 2" xfId="5468" xr:uid="{9561191F-32D9-49A3-8930-74E37C001B8D}"/>
    <cellStyle name="Currency 3 2 3 2 2 2 2" xfId="9686" xr:uid="{59B5716F-1C28-46EC-AFC7-FCF7A0080E73}"/>
    <cellStyle name="Currency 3 2 3 2 2 3" xfId="7541" xr:uid="{54811196-90B6-4175-95CC-DABB0EC01CA6}"/>
    <cellStyle name="Currency 3 2 3 2 2 4" xfId="3238" xr:uid="{5979DB9C-B467-40B6-A1C4-1C3EFEAE6731}"/>
    <cellStyle name="Currency 3 2 3 2 2 5" xfId="2410" xr:uid="{8EBDF26F-A398-4E7C-81C0-9BB9A9A04716}"/>
    <cellStyle name="Currency 3 2 3 2 2 6" xfId="1581" xr:uid="{227F1FD0-5269-4DF8-970A-AEE6A2E00D36}"/>
    <cellStyle name="Currency 3 2 3 2 3" xfId="3652" xr:uid="{5C731F71-15FC-4163-A9C5-9FE5F8B4212E}"/>
    <cellStyle name="Currency 3 2 3 2 3 2" xfId="5881" xr:uid="{666844ED-A50F-4E80-BA75-DB413E9E7732}"/>
    <cellStyle name="Currency 3 2 3 2 3 2 2" xfId="10099" xr:uid="{3D369739-D8C2-4563-82E0-B441347E9210}"/>
    <cellStyle name="Currency 3 2 3 2 3 3" xfId="7954" xr:uid="{EB5CD758-6A68-4458-B72F-16BB1AAD93F1}"/>
    <cellStyle name="Currency 3 2 3 2 4" xfId="4065" xr:uid="{F3D94903-7D21-47CD-94F5-BE9D61D522AF}"/>
    <cellStyle name="Currency 3 2 3 2 4 2" xfId="6294" xr:uid="{B0A4BB66-C592-4D6E-AA99-7C548D0A9413}"/>
    <cellStyle name="Currency 3 2 3 2 4 2 2" xfId="10512" xr:uid="{0378A78E-1037-409E-BEA2-C69D82683F0F}"/>
    <cellStyle name="Currency 3 2 3 2 4 3" xfId="8367" xr:uid="{8E5EB8ED-432C-4B9B-AAB7-F9F684D17CDE}"/>
    <cellStyle name="Currency 3 2 3 2 5" xfId="4478" xr:uid="{EE865217-D096-4F60-8696-8D4DD351B5B6}"/>
    <cellStyle name="Currency 3 2 3 2 5 2" xfId="6707" xr:uid="{E63CB126-C258-4D7F-BB5C-6C74F3F60404}"/>
    <cellStyle name="Currency 3 2 3 2 5 2 2" xfId="10925" xr:uid="{C42DE01E-6090-4C5B-940B-4D32A89BF5E6}"/>
    <cellStyle name="Currency 3 2 3 2 5 3" xfId="8780" xr:uid="{81727D7E-0EEC-4E61-9542-6F3EE0EC43AE}"/>
    <cellStyle name="Currency 3 2 3 2 6" xfId="4913" xr:uid="{BE21CD2C-F855-41B8-8FDC-47DC164FD90D}"/>
    <cellStyle name="Currency 3 2 3 2 6 2" xfId="9193" xr:uid="{8C8DC9C7-E5EB-4CC2-B137-E7B22740764B}"/>
    <cellStyle name="Currency 3 2 3 2 7" xfId="5210" xr:uid="{084CDEBB-A323-4ACC-A07F-76D062983A29}"/>
    <cellStyle name="Currency 3 2 3 2 8" xfId="5291" xr:uid="{C4E7A902-A439-4D79-94CB-731C6F2F95F4}"/>
    <cellStyle name="Currency 3 2 3 2 8 2" xfId="9510" xr:uid="{B72183E3-54D2-4053-9549-95684AD88103}"/>
    <cellStyle name="Currency 3 2 3 2 9" xfId="7127" xr:uid="{7008D102-5DD3-46EE-9088-C914342B3CFD}"/>
    <cellStyle name="Currency 3 2 3 3" xfId="719" xr:uid="{00000000-0005-0000-0000-000047010000}"/>
    <cellStyle name="Currency 3 2 3 3 2" xfId="5467" xr:uid="{0DA6779E-246F-475A-953A-B85993CA0138}"/>
    <cellStyle name="Currency 3 2 3 3 2 2" xfId="9685" xr:uid="{05183FCC-CE22-4B72-B17B-D94D22856B2D}"/>
    <cellStyle name="Currency 3 2 3 3 3" xfId="7540" xr:uid="{D65F4C33-A1F7-410D-824F-4CD29B780B85}"/>
    <cellStyle name="Currency 3 2 3 3 4" xfId="3237" xr:uid="{1E1B5C18-1FEF-4EC7-9AC5-8C4FA1640CFA}"/>
    <cellStyle name="Currency 3 2 3 3 5" xfId="2409" xr:uid="{C28A1384-EEC6-4EF7-B5CD-3C497F545B49}"/>
    <cellStyle name="Currency 3 2 3 3 6" xfId="1580" xr:uid="{BC4F03CB-B67D-4481-852B-AC38419F401C}"/>
    <cellStyle name="Currency 3 2 3 4" xfId="3651" xr:uid="{249951FB-3AF3-4635-8AFB-285456C57B30}"/>
    <cellStyle name="Currency 3 2 3 4 2" xfId="5880" xr:uid="{505A0909-3C3C-4504-8D0D-11ACC8E46E58}"/>
    <cellStyle name="Currency 3 2 3 4 2 2" xfId="10098" xr:uid="{525849B2-A319-455C-8DBA-D0AF453BB1B7}"/>
    <cellStyle name="Currency 3 2 3 4 3" xfId="7953" xr:uid="{D8ADD53E-0E89-49C5-ACD8-E65F4C214FBE}"/>
    <cellStyle name="Currency 3 2 3 5" xfId="4064" xr:uid="{A415ED24-4ECE-47D0-AA32-D49E8EE5C2D7}"/>
    <cellStyle name="Currency 3 2 3 5 2" xfId="6293" xr:uid="{EECAB50D-73E2-47C5-9643-9FD7F2A5AAD8}"/>
    <cellStyle name="Currency 3 2 3 5 2 2" xfId="10511" xr:uid="{78036EB4-EEF0-48B0-8C21-F6081FB6AD89}"/>
    <cellStyle name="Currency 3 2 3 5 3" xfId="8366" xr:uid="{2335E17F-830C-4410-A44D-9AB072C41338}"/>
    <cellStyle name="Currency 3 2 3 6" xfId="4477" xr:uid="{635E37FC-C5A0-4558-90DB-CE130DDD3EAA}"/>
    <cellStyle name="Currency 3 2 3 6 2" xfId="6706" xr:uid="{26398650-A53D-4A71-9343-BF1D2815E4E3}"/>
    <cellStyle name="Currency 3 2 3 6 2 2" xfId="10924" xr:uid="{710446CA-C947-42D6-A5B0-441A81DA497F}"/>
    <cellStyle name="Currency 3 2 3 6 3" xfId="8779" xr:uid="{67A2D600-9A7F-4981-AE76-ADEDF6AC6855}"/>
    <cellStyle name="Currency 3 2 3 7" xfId="4912" xr:uid="{A4CF8B4D-FBDA-412B-8EE7-F561A8A3B539}"/>
    <cellStyle name="Currency 3 2 3 7 2" xfId="9192" xr:uid="{F1226BA7-FAFA-4F31-BB02-F45F85B06E52}"/>
    <cellStyle name="Currency 3 2 3 8" xfId="5209" xr:uid="{7854EB3B-A45A-424C-AA55-D661E5C96F2C}"/>
    <cellStyle name="Currency 3 2 3 9" xfId="5290" xr:uid="{2A5B0F29-1D96-4869-90D7-BAF57C1176CC}"/>
    <cellStyle name="Currency 3 2 3 9 2" xfId="9509" xr:uid="{00B587E4-C64E-4E45-B30F-EAA9AD11B7BF}"/>
    <cellStyle name="Currency 3 2 4" xfId="185" xr:uid="{00000000-0005-0000-0000-000048010000}"/>
    <cellStyle name="Currency 3 2 4 10" xfId="2824" xr:uid="{77DF0344-A405-4045-9C5D-279D526B7878}"/>
    <cellStyle name="Currency 3 2 4 11" xfId="1995" xr:uid="{98CFE4B3-848C-45A1-907D-D49A8D98AC05}"/>
    <cellStyle name="Currency 3 2 4 12" xfId="1166" xr:uid="{30E87617-214D-4EF3-B2E8-DE1CA5FCC5F4}"/>
    <cellStyle name="Currency 3 2 4 2" xfId="721" xr:uid="{00000000-0005-0000-0000-000049010000}"/>
    <cellStyle name="Currency 3 2 4 2 2" xfId="5469" xr:uid="{BCFC78E1-7EF6-4C36-9DC1-1A12775FD5B0}"/>
    <cellStyle name="Currency 3 2 4 2 2 2" xfId="9687" xr:uid="{611D4A63-BC1A-40E9-8C86-5CAF2D92E432}"/>
    <cellStyle name="Currency 3 2 4 2 3" xfId="7542" xr:uid="{DEBE027C-1576-434D-93F2-48D93B4DA795}"/>
    <cellStyle name="Currency 3 2 4 2 4" xfId="3239" xr:uid="{8B50D359-9E2C-4389-A0D9-FCC764B754DB}"/>
    <cellStyle name="Currency 3 2 4 2 5" xfId="2411" xr:uid="{E1792342-A2B8-4D84-A34F-84B734A7A626}"/>
    <cellStyle name="Currency 3 2 4 2 6" xfId="1582" xr:uid="{673FDE0D-F460-472C-8866-53B39936BB82}"/>
    <cellStyle name="Currency 3 2 4 3" xfId="3653" xr:uid="{44F9F0BA-E0B5-42A6-989A-28CD6F1D8A5B}"/>
    <cellStyle name="Currency 3 2 4 3 2" xfId="5882" xr:uid="{5D3CD68B-948C-41A9-8F47-3BBCB7B7901E}"/>
    <cellStyle name="Currency 3 2 4 3 2 2" xfId="10100" xr:uid="{0621787D-98AB-45CE-B15F-290B5C486351}"/>
    <cellStyle name="Currency 3 2 4 3 3" xfId="7955" xr:uid="{BE51C1AC-CB53-4CDD-ACE3-6C4D9A52DFA2}"/>
    <cellStyle name="Currency 3 2 4 4" xfId="4066" xr:uid="{BAFEB703-5B46-47C5-99A3-115E6E80DA0C}"/>
    <cellStyle name="Currency 3 2 4 4 2" xfId="6295" xr:uid="{B94510BF-C9A1-49BA-B490-F1788B84B6B4}"/>
    <cellStyle name="Currency 3 2 4 4 2 2" xfId="10513" xr:uid="{C0F82203-D88B-4A08-9B6B-B3AD1CD486A7}"/>
    <cellStyle name="Currency 3 2 4 4 3" xfId="8368" xr:uid="{61131A97-6AFA-4892-88F7-45F4495B7C91}"/>
    <cellStyle name="Currency 3 2 4 5" xfId="4479" xr:uid="{57C60807-7569-4F83-B72A-5C9DBB6DCC07}"/>
    <cellStyle name="Currency 3 2 4 5 2" xfId="6708" xr:uid="{06D0C5B5-4266-494A-9C28-689E44326A1E}"/>
    <cellStyle name="Currency 3 2 4 5 2 2" xfId="10926" xr:uid="{6544F2C8-2A34-4323-BF0D-B81A71982F24}"/>
    <cellStyle name="Currency 3 2 4 5 3" xfId="8781" xr:uid="{FBA5DEB6-8C7C-4356-B228-664D7B03F946}"/>
    <cellStyle name="Currency 3 2 4 6" xfId="4914" xr:uid="{8302210B-F58E-48CE-814F-2F213C094D86}"/>
    <cellStyle name="Currency 3 2 4 6 2" xfId="9194" xr:uid="{84B172C0-CFFB-402D-8771-96A3371D6023}"/>
    <cellStyle name="Currency 3 2 4 7" xfId="5211" xr:uid="{3F987EB7-1750-457D-A57A-2955C645DE1F}"/>
    <cellStyle name="Currency 3 2 4 8" xfId="5292" xr:uid="{44E888FA-E5E6-4D20-A527-1E3E116834F0}"/>
    <cellStyle name="Currency 3 2 4 8 2" xfId="9511" xr:uid="{2AAC4700-19EF-4E14-A693-AD4CAB513CCF}"/>
    <cellStyle name="Currency 3 2 4 9" xfId="7128" xr:uid="{07EBECE1-3820-4428-B4EF-A4B4251D9F5D}"/>
    <cellStyle name="Currency 3 2 5" xfId="186" xr:uid="{00000000-0005-0000-0000-00004A010000}"/>
    <cellStyle name="Currency 3 2 5 10" xfId="2825" xr:uid="{BE5D5C02-B3B6-46BB-A1D4-4262DAE0E46F}"/>
    <cellStyle name="Currency 3 2 5 11" xfId="1996" xr:uid="{606069C7-2FA0-4E19-85FD-1F5003353227}"/>
    <cellStyle name="Currency 3 2 5 12" xfId="1167" xr:uid="{A36639C2-117B-4BA1-BDB0-E135FD09FC26}"/>
    <cellStyle name="Currency 3 2 5 2" xfId="722" xr:uid="{00000000-0005-0000-0000-00004B010000}"/>
    <cellStyle name="Currency 3 2 5 2 2" xfId="5470" xr:uid="{ACF764B5-0CCF-4310-86F0-F5CF16BA8613}"/>
    <cellStyle name="Currency 3 2 5 2 2 2" xfId="9688" xr:uid="{78824D6C-186B-4C8B-BA72-15F41C6578D0}"/>
    <cellStyle name="Currency 3 2 5 2 3" xfId="7543" xr:uid="{577C9D7A-F12B-4C5A-86EE-64D12680B6DE}"/>
    <cellStyle name="Currency 3 2 5 2 4" xfId="3240" xr:uid="{15639D65-F1A0-41E0-8383-181633A7E5FA}"/>
    <cellStyle name="Currency 3 2 5 2 5" xfId="2412" xr:uid="{8911D612-5493-4C6A-A109-887C6BC5975E}"/>
    <cellStyle name="Currency 3 2 5 2 6" xfId="1583" xr:uid="{D3B65EFD-BA19-42E4-B9E0-9334CF502782}"/>
    <cellStyle name="Currency 3 2 5 3" xfId="3654" xr:uid="{07B78732-283F-45A6-9485-E24F3CD21D07}"/>
    <cellStyle name="Currency 3 2 5 3 2" xfId="5883" xr:uid="{9A7A9E3E-1D46-4527-9098-F900E10B32A4}"/>
    <cellStyle name="Currency 3 2 5 3 2 2" xfId="10101" xr:uid="{41E1B740-086E-49CB-B1AB-E35C99CF7578}"/>
    <cellStyle name="Currency 3 2 5 3 3" xfId="7956" xr:uid="{E6EDDAD9-2F5B-468E-8857-16746DC09A2E}"/>
    <cellStyle name="Currency 3 2 5 4" xfId="4067" xr:uid="{FA91BD0B-8877-43AF-A6FF-A0ED52731067}"/>
    <cellStyle name="Currency 3 2 5 4 2" xfId="6296" xr:uid="{F8551963-7B4A-42DA-B67E-3A292AE25DC2}"/>
    <cellStyle name="Currency 3 2 5 4 2 2" xfId="10514" xr:uid="{AD2D74CD-5D92-4DFA-9E75-270EB03BCCEE}"/>
    <cellStyle name="Currency 3 2 5 4 3" xfId="8369" xr:uid="{12548CA5-60FA-4966-9DE3-90577BF3ADD7}"/>
    <cellStyle name="Currency 3 2 5 5" xfId="4480" xr:uid="{84ED16CB-1BAA-42FC-8BE2-A120638A3D51}"/>
    <cellStyle name="Currency 3 2 5 5 2" xfId="6709" xr:uid="{3F1ED64C-F75C-4E23-90E1-E20D48BDECB0}"/>
    <cellStyle name="Currency 3 2 5 5 2 2" xfId="10927" xr:uid="{FBD0625E-1AC2-422C-B536-074571A992F0}"/>
    <cellStyle name="Currency 3 2 5 5 3" xfId="8782" xr:uid="{26F6BF7D-26C3-485E-83C3-022CE10FD714}"/>
    <cellStyle name="Currency 3 2 5 6" xfId="4915" xr:uid="{3EE66892-CECE-4937-8C70-E517D6544092}"/>
    <cellStyle name="Currency 3 2 5 6 2" xfId="9195" xr:uid="{B51A7FA9-5246-40DC-8E9D-8613383AD984}"/>
    <cellStyle name="Currency 3 2 5 7" xfId="5212" xr:uid="{15F424CA-FBF0-479E-9F29-EA6EF406972D}"/>
    <cellStyle name="Currency 3 2 5 8" xfId="5293" xr:uid="{7AF42979-4E68-4F94-AC28-5B83396835CD}"/>
    <cellStyle name="Currency 3 2 5 8 2" xfId="9512" xr:uid="{88B22273-0824-4AB0-AD33-9F2F2FCD2D61}"/>
    <cellStyle name="Currency 3 2 5 9" xfId="7129" xr:uid="{CC310D52-040E-4E8D-916A-7671435EAC85}"/>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5294" xr:uid="{0682011D-2702-40FF-A11D-ED27F456A2F4}"/>
    <cellStyle name="Currency 5 2 2 2 10 2" xfId="9513" xr:uid="{0328BF6C-D08F-4214-AEAC-0A0FF8DE6CBE}"/>
    <cellStyle name="Currency 5 2 2 2 11" xfId="7130" xr:uid="{08A81C44-E5EF-41FD-A833-3020B9C82AF4}"/>
    <cellStyle name="Currency 5 2 2 2 12" xfId="2826" xr:uid="{1AF38400-7817-4507-8974-5D11E152EBD4}"/>
    <cellStyle name="Currency 5 2 2 2 13" xfId="1997" xr:uid="{A464ACEB-58D4-4E8A-AA26-8B156A9E606F}"/>
    <cellStyle name="Currency 5 2 2 2 14" xfId="1168" xr:uid="{0EA7C723-D172-4577-9360-098125C4FB76}"/>
    <cellStyle name="Currency 5 2 2 2 2" xfId="198" xr:uid="{00000000-0005-0000-0000-00005C010000}"/>
    <cellStyle name="Currency 5 2 2 2 2 10" xfId="7131" xr:uid="{25D3EA6D-D113-4ACC-B015-C6AAA6BC3538}"/>
    <cellStyle name="Currency 5 2 2 2 2 11" xfId="2827" xr:uid="{FABDAF15-585B-4BC1-B218-343A31355875}"/>
    <cellStyle name="Currency 5 2 2 2 2 12" xfId="1998" xr:uid="{DA930C59-1471-438E-9A5D-795F2B0AA32D}"/>
    <cellStyle name="Currency 5 2 2 2 2 13" xfId="1169" xr:uid="{F56EB57C-09A9-4F85-B275-4CA445CAF3C1}"/>
    <cellStyle name="Currency 5 2 2 2 2 2" xfId="199" xr:uid="{00000000-0005-0000-0000-00005D010000}"/>
    <cellStyle name="Currency 5 2 2 2 2 2 10" xfId="2828" xr:uid="{74009C28-9C9B-404B-A313-1530F038F133}"/>
    <cellStyle name="Currency 5 2 2 2 2 2 11" xfId="1999" xr:uid="{CDC5EF26-5090-4070-824A-290D8AB5DDC1}"/>
    <cellStyle name="Currency 5 2 2 2 2 2 12" xfId="1170" xr:uid="{362AC858-261D-4ED8-931E-3DAECBEBDD02}"/>
    <cellStyle name="Currency 5 2 2 2 2 2 2" xfId="732" xr:uid="{00000000-0005-0000-0000-00005E010000}"/>
    <cellStyle name="Currency 5 2 2 2 2 2 2 2" xfId="5473" xr:uid="{31B21D01-2EB4-4A6A-BB1B-5774CBFCA7C7}"/>
    <cellStyle name="Currency 5 2 2 2 2 2 2 2 2" xfId="9691" xr:uid="{A8F43C81-5F5C-4769-8693-E54CC2ADC89B}"/>
    <cellStyle name="Currency 5 2 2 2 2 2 2 3" xfId="7546" xr:uid="{58B96F93-2225-48AB-9F23-2B38A72F4530}"/>
    <cellStyle name="Currency 5 2 2 2 2 2 2 4" xfId="3243" xr:uid="{8CF6C592-1EA9-4CE6-9C59-DA7F55CD27FF}"/>
    <cellStyle name="Currency 5 2 2 2 2 2 2 5" xfId="2415" xr:uid="{CDAC5A49-D0E0-4E6D-A826-3C5D2D99BDC0}"/>
    <cellStyle name="Currency 5 2 2 2 2 2 2 6" xfId="1586" xr:uid="{8D7C2572-EDA9-496D-B3EE-542BAE75C932}"/>
    <cellStyle name="Currency 5 2 2 2 2 2 3" xfId="3657" xr:uid="{498BF76E-3EDC-48CE-A539-61E9F41461F6}"/>
    <cellStyle name="Currency 5 2 2 2 2 2 3 2" xfId="5886" xr:uid="{C750C6E8-474F-4235-9FDF-7EB1F78C20B2}"/>
    <cellStyle name="Currency 5 2 2 2 2 2 3 2 2" xfId="10104" xr:uid="{52B14F17-B9DD-44E1-813B-BB430E1ACF06}"/>
    <cellStyle name="Currency 5 2 2 2 2 2 3 3" xfId="7959" xr:uid="{F94FC598-2D7B-4FF5-8873-6140971E6E02}"/>
    <cellStyle name="Currency 5 2 2 2 2 2 4" xfId="4070" xr:uid="{9DD54620-042E-4CAE-B236-E64714D7A168}"/>
    <cellStyle name="Currency 5 2 2 2 2 2 4 2" xfId="6299" xr:uid="{8241D0AE-B7D4-4FA0-9886-49902D8A1777}"/>
    <cellStyle name="Currency 5 2 2 2 2 2 4 2 2" xfId="10517" xr:uid="{B0440472-EC03-441D-8A43-F08CEE764E1D}"/>
    <cellStyle name="Currency 5 2 2 2 2 2 4 3" xfId="8372" xr:uid="{C82FFE8A-7E27-472B-BF65-E76DAC00B65F}"/>
    <cellStyle name="Currency 5 2 2 2 2 2 5" xfId="4483" xr:uid="{AAF4E433-094D-4517-BEB7-6623349CD856}"/>
    <cellStyle name="Currency 5 2 2 2 2 2 5 2" xfId="6712" xr:uid="{EFBD4F0C-C18B-48F1-A65F-16A3AA98D2C5}"/>
    <cellStyle name="Currency 5 2 2 2 2 2 5 2 2" xfId="10930" xr:uid="{74CBA78B-2B69-466C-AD9F-6D55EC867FFC}"/>
    <cellStyle name="Currency 5 2 2 2 2 2 5 3" xfId="8785" xr:uid="{24EA5CDB-62FF-4820-8178-EE74E9175324}"/>
    <cellStyle name="Currency 5 2 2 2 2 2 6" xfId="4918" xr:uid="{FEBD6A31-4F90-48B4-82F1-1A6775450D63}"/>
    <cellStyle name="Currency 5 2 2 2 2 2 6 2" xfId="9198" xr:uid="{786D3BA7-1E08-47A8-AAD3-843A35496595}"/>
    <cellStyle name="Currency 5 2 2 2 2 2 7" xfId="5215" xr:uid="{F4DE3A6B-415A-44F0-8570-EADD045185D1}"/>
    <cellStyle name="Currency 5 2 2 2 2 2 8" xfId="5296" xr:uid="{3BBAA882-D790-42E2-AE2A-2601491BEDFA}"/>
    <cellStyle name="Currency 5 2 2 2 2 2 8 2" xfId="9515" xr:uid="{90D7B619-DC32-4EE1-BC3E-1D29AD7151C2}"/>
    <cellStyle name="Currency 5 2 2 2 2 2 9" xfId="7132" xr:uid="{6617E3EC-9BA9-4D0D-B145-F60772E3AB38}"/>
    <cellStyle name="Currency 5 2 2 2 2 3" xfId="731" xr:uid="{00000000-0005-0000-0000-00005F010000}"/>
    <cellStyle name="Currency 5 2 2 2 2 3 2" xfId="5472" xr:uid="{DB081A88-AE13-4CE3-9212-D8129D4AE535}"/>
    <cellStyle name="Currency 5 2 2 2 2 3 2 2" xfId="9690" xr:uid="{B29085A5-B029-4F78-B3E9-4EF73678EC36}"/>
    <cellStyle name="Currency 5 2 2 2 2 3 3" xfId="7545" xr:uid="{FFC75CBC-B91F-44E3-BF33-7357E87A3E89}"/>
    <cellStyle name="Currency 5 2 2 2 2 3 4" xfId="3242" xr:uid="{0CB5D34C-9D29-43A9-8BB5-BE73E03FD7E3}"/>
    <cellStyle name="Currency 5 2 2 2 2 3 5" xfId="2414" xr:uid="{5F264892-EDDC-4927-A7E4-665C454949E8}"/>
    <cellStyle name="Currency 5 2 2 2 2 3 6" xfId="1585" xr:uid="{3FF81815-FD8A-478C-BC36-BBC1BD453D83}"/>
    <cellStyle name="Currency 5 2 2 2 2 4" xfId="3656" xr:uid="{9BD06496-3423-4F9F-ABF8-0BA3DD7D1464}"/>
    <cellStyle name="Currency 5 2 2 2 2 4 2" xfId="5885" xr:uid="{DC581DB8-AE57-4201-94A8-2A0D554B577B}"/>
    <cellStyle name="Currency 5 2 2 2 2 4 2 2" xfId="10103" xr:uid="{E82C9584-E60C-4417-8344-31559A6246F1}"/>
    <cellStyle name="Currency 5 2 2 2 2 4 3" xfId="7958" xr:uid="{02DE452B-BCD9-4F62-B2A9-6B17D40CD84D}"/>
    <cellStyle name="Currency 5 2 2 2 2 5" xfId="4069" xr:uid="{B1B204D4-13D7-45EA-9B60-05408DFDCED9}"/>
    <cellStyle name="Currency 5 2 2 2 2 5 2" xfId="6298" xr:uid="{75F03001-588C-4554-8296-F443C57EE463}"/>
    <cellStyle name="Currency 5 2 2 2 2 5 2 2" xfId="10516" xr:uid="{F610D08E-3FEF-4FB6-B12A-D0EDD2A51C7C}"/>
    <cellStyle name="Currency 5 2 2 2 2 5 3" xfId="8371" xr:uid="{2618EE08-9F51-498D-9654-AEE2D7816CD3}"/>
    <cellStyle name="Currency 5 2 2 2 2 6" xfId="4482" xr:uid="{FBEFF45C-22FF-43FA-9FEA-C31CD65B1581}"/>
    <cellStyle name="Currency 5 2 2 2 2 6 2" xfId="6711" xr:uid="{858D0770-0B77-4A72-A135-25964D51379B}"/>
    <cellStyle name="Currency 5 2 2 2 2 6 2 2" xfId="10929" xr:uid="{97587696-B83F-4582-AA98-081D46C29C01}"/>
    <cellStyle name="Currency 5 2 2 2 2 6 3" xfId="8784" xr:uid="{C369B326-2F0F-4C17-912C-7562622744CE}"/>
    <cellStyle name="Currency 5 2 2 2 2 7" xfId="4917" xr:uid="{D5C41F5A-FF69-4C3A-AA2B-88DC84C36B30}"/>
    <cellStyle name="Currency 5 2 2 2 2 7 2" xfId="9197" xr:uid="{AC70F9E8-217E-4F6A-8AC1-8131C20244E0}"/>
    <cellStyle name="Currency 5 2 2 2 2 8" xfId="5214" xr:uid="{8D36A9D7-345B-485D-903A-B4F9C395F1D6}"/>
    <cellStyle name="Currency 5 2 2 2 2 9" xfId="5295" xr:uid="{C1479658-DC2B-4F06-89A0-42F755804A67}"/>
    <cellStyle name="Currency 5 2 2 2 2 9 2" xfId="9514" xr:uid="{90DDCD9D-33DC-4C4C-85C4-F9A79CCE1991}"/>
    <cellStyle name="Currency 5 2 2 2 3" xfId="200" xr:uid="{00000000-0005-0000-0000-000060010000}"/>
    <cellStyle name="Currency 5 2 2 2 3 10" xfId="2829" xr:uid="{6B508D1C-BC29-4D56-9B2F-F94FC52D8EE5}"/>
    <cellStyle name="Currency 5 2 2 2 3 11" xfId="2000" xr:uid="{49CC6E1B-6C86-41D0-BCE3-2DCB09A42486}"/>
    <cellStyle name="Currency 5 2 2 2 3 12" xfId="1171" xr:uid="{02C0E335-D035-4890-8569-BB77E5F3E02E}"/>
    <cellStyle name="Currency 5 2 2 2 3 2" xfId="733" xr:uid="{00000000-0005-0000-0000-000061010000}"/>
    <cellStyle name="Currency 5 2 2 2 3 2 2" xfId="5474" xr:uid="{743CB9BE-D79F-4F50-A0AD-8A0D1842E0A2}"/>
    <cellStyle name="Currency 5 2 2 2 3 2 2 2" xfId="9692" xr:uid="{6D24C101-0353-4A01-9159-BEBBF1F2949F}"/>
    <cellStyle name="Currency 5 2 2 2 3 2 3" xfId="7547" xr:uid="{99B13561-D529-4D6F-A9CC-7E24B87C7BFD}"/>
    <cellStyle name="Currency 5 2 2 2 3 2 4" xfId="3244" xr:uid="{A36126F0-DE96-4349-A938-F4E5F0085C31}"/>
    <cellStyle name="Currency 5 2 2 2 3 2 5" xfId="2416" xr:uid="{CEC4E6F1-BC1B-441B-89AD-82201352B0BA}"/>
    <cellStyle name="Currency 5 2 2 2 3 2 6" xfId="1587" xr:uid="{DC41DFE5-364A-4930-9310-38F5FB4C76B1}"/>
    <cellStyle name="Currency 5 2 2 2 3 3" xfId="3658" xr:uid="{C82D0B86-2C17-4CD8-BDA2-CEF5DABDEAAF}"/>
    <cellStyle name="Currency 5 2 2 2 3 3 2" xfId="5887" xr:uid="{28165D16-3331-4111-87DA-7B01C5A612AF}"/>
    <cellStyle name="Currency 5 2 2 2 3 3 2 2" xfId="10105" xr:uid="{15C63906-26F7-42FB-A99A-1D34CB064DB4}"/>
    <cellStyle name="Currency 5 2 2 2 3 3 3" xfId="7960" xr:uid="{1470A009-43CD-4C5B-AC9E-63DAD6D4DC31}"/>
    <cellStyle name="Currency 5 2 2 2 3 4" xfId="4071" xr:uid="{21D972F5-6F57-4588-AC71-0D719E1DF639}"/>
    <cellStyle name="Currency 5 2 2 2 3 4 2" xfId="6300" xr:uid="{67F6F901-1749-4A26-925E-CF6B3A70664D}"/>
    <cellStyle name="Currency 5 2 2 2 3 4 2 2" xfId="10518" xr:uid="{DE4E8281-4BEF-4D09-A4E6-6FCA5A6C0A76}"/>
    <cellStyle name="Currency 5 2 2 2 3 4 3" xfId="8373" xr:uid="{6CC37C10-26DE-4D61-89F6-216698A0B481}"/>
    <cellStyle name="Currency 5 2 2 2 3 5" xfId="4484" xr:uid="{ADD4E047-AE80-48B1-9E84-08F83ECF5E3E}"/>
    <cellStyle name="Currency 5 2 2 2 3 5 2" xfId="6713" xr:uid="{3C7C55FE-1357-49B9-978C-5C1D916D2C11}"/>
    <cellStyle name="Currency 5 2 2 2 3 5 2 2" xfId="10931" xr:uid="{7D24BB99-B0A7-419A-8D8D-AAFE54EB2B75}"/>
    <cellStyle name="Currency 5 2 2 2 3 5 3" xfId="8786" xr:uid="{3B119639-D28A-464F-BD33-5850F53C178B}"/>
    <cellStyle name="Currency 5 2 2 2 3 6" xfId="4919" xr:uid="{3AFA7264-780E-483F-966E-C0279C4F40F9}"/>
    <cellStyle name="Currency 5 2 2 2 3 6 2" xfId="9199" xr:uid="{7BAD83F2-7B7E-4B03-AA9B-DD62F119C740}"/>
    <cellStyle name="Currency 5 2 2 2 3 7" xfId="5216" xr:uid="{4FDF3084-FBD2-46C3-83E2-E67DF2AD8FD5}"/>
    <cellStyle name="Currency 5 2 2 2 3 8" xfId="5297" xr:uid="{674CDC22-8EAD-49EA-87CA-C4110A5B2A9B}"/>
    <cellStyle name="Currency 5 2 2 2 3 8 2" xfId="9516" xr:uid="{BAC41CD3-4AE2-442A-A679-AFE741FB39B7}"/>
    <cellStyle name="Currency 5 2 2 2 3 9" xfId="7133" xr:uid="{E63E201F-D850-41BF-BEB1-A7C131473D73}"/>
    <cellStyle name="Currency 5 2 2 2 4" xfId="730" xr:uid="{00000000-0005-0000-0000-000062010000}"/>
    <cellStyle name="Currency 5 2 2 2 4 2" xfId="5471" xr:uid="{5DA3A4D5-3628-469E-A571-C718D67436AB}"/>
    <cellStyle name="Currency 5 2 2 2 4 2 2" xfId="9689" xr:uid="{96704785-23DD-4AA1-B93E-4BEF54F86C90}"/>
    <cellStyle name="Currency 5 2 2 2 4 3" xfId="7544" xr:uid="{27A1CED1-F773-414C-846E-73DF03AF51A5}"/>
    <cellStyle name="Currency 5 2 2 2 4 4" xfId="3241" xr:uid="{46F10CB3-FBFC-4A10-961C-61D3A8E7CA6A}"/>
    <cellStyle name="Currency 5 2 2 2 4 5" xfId="2413" xr:uid="{A1F1BB8A-E147-4E53-AB21-9A5F9EFDC393}"/>
    <cellStyle name="Currency 5 2 2 2 4 6" xfId="1584" xr:uid="{0FCDD743-1F69-4AEA-B014-46A30DF12464}"/>
    <cellStyle name="Currency 5 2 2 2 5" xfId="3655" xr:uid="{0EE23493-D0B5-41D3-9016-862F11E52879}"/>
    <cellStyle name="Currency 5 2 2 2 5 2" xfId="5884" xr:uid="{4F419712-E890-4746-9AC6-2C4B383455C3}"/>
    <cellStyle name="Currency 5 2 2 2 5 2 2" xfId="10102" xr:uid="{1641C3E4-42E9-483B-9BB7-F3D5FC207A9C}"/>
    <cellStyle name="Currency 5 2 2 2 5 3" xfId="7957" xr:uid="{AC033BBE-E716-4977-892E-F0E8713F61D5}"/>
    <cellStyle name="Currency 5 2 2 2 6" xfId="4068" xr:uid="{F9D55134-6E66-4D4E-995C-F8CEF6CC3332}"/>
    <cellStyle name="Currency 5 2 2 2 6 2" xfId="6297" xr:uid="{03A7A5EF-F07F-4093-A3C8-3F41FB707DDE}"/>
    <cellStyle name="Currency 5 2 2 2 6 2 2" xfId="10515" xr:uid="{D75087B7-AB88-4E84-8CA2-032C2AA6B62B}"/>
    <cellStyle name="Currency 5 2 2 2 6 3" xfId="8370" xr:uid="{CDC1D622-3D27-45D8-80EF-ADB95AC54305}"/>
    <cellStyle name="Currency 5 2 2 2 7" xfId="4481" xr:uid="{1C4D1426-FB86-4BB5-BB74-3B545FFB84BE}"/>
    <cellStyle name="Currency 5 2 2 2 7 2" xfId="6710" xr:uid="{965BB898-903E-4069-B814-07EB079A2522}"/>
    <cellStyle name="Currency 5 2 2 2 7 2 2" xfId="10928" xr:uid="{1A35C513-3EC1-4FF7-AEFD-D1AAB7BCBCB2}"/>
    <cellStyle name="Currency 5 2 2 2 7 3" xfId="8783" xr:uid="{F535D0CA-929C-4237-BE37-64D097FC234A}"/>
    <cellStyle name="Currency 5 2 2 2 8" xfId="4916" xr:uid="{38208EBB-9B36-4CE1-A62A-98B32E1A0A05}"/>
    <cellStyle name="Currency 5 2 2 2 8 2" xfId="9196" xr:uid="{C2CA87C0-B688-49BF-9DB6-1CFBE416D5F5}"/>
    <cellStyle name="Currency 5 2 2 2 9" xfId="5213" xr:uid="{6C2C9F1E-53C6-4F3D-BF2E-C81A5DF4B088}"/>
    <cellStyle name="Currency 5 2 2 3" xfId="201" xr:uid="{00000000-0005-0000-0000-000063010000}"/>
    <cellStyle name="Currency 5 2 2 3 10" xfId="7134" xr:uid="{0493672F-E830-46B5-B456-ECB5F3B4EDA8}"/>
    <cellStyle name="Currency 5 2 2 3 11" xfId="2830" xr:uid="{4C53E083-AC0F-47D3-9107-5E5BC9388575}"/>
    <cellStyle name="Currency 5 2 2 3 12" xfId="2001" xr:uid="{548080E8-77B5-47F8-93FB-119CEC5CE51B}"/>
    <cellStyle name="Currency 5 2 2 3 13" xfId="1172" xr:uid="{F670BFCF-0ACB-461F-BCF4-DD525D61C3B3}"/>
    <cellStyle name="Currency 5 2 2 3 2" xfId="202" xr:uid="{00000000-0005-0000-0000-000064010000}"/>
    <cellStyle name="Currency 5 2 2 3 2 10" xfId="2831" xr:uid="{EDC40177-40EA-4DFF-8CC6-D3249CB1177D}"/>
    <cellStyle name="Currency 5 2 2 3 2 11" xfId="2002" xr:uid="{AE893090-0DFC-4AB3-8837-7D841393C123}"/>
    <cellStyle name="Currency 5 2 2 3 2 12" xfId="1173" xr:uid="{6DC32540-28D2-4378-9C16-90674D0E942E}"/>
    <cellStyle name="Currency 5 2 2 3 2 2" xfId="735" xr:uid="{00000000-0005-0000-0000-000065010000}"/>
    <cellStyle name="Currency 5 2 2 3 2 2 2" xfId="5476" xr:uid="{CCD34874-43D6-402B-A9CF-AF7C3EE20895}"/>
    <cellStyle name="Currency 5 2 2 3 2 2 2 2" xfId="9694" xr:uid="{3F245602-EA80-4024-BAE8-8770F562D23E}"/>
    <cellStyle name="Currency 5 2 2 3 2 2 3" xfId="7549" xr:uid="{1D9E40C7-2B69-43A0-B3CC-951A64594A31}"/>
    <cellStyle name="Currency 5 2 2 3 2 2 4" xfId="3246" xr:uid="{86A0194A-E1F5-49C2-A4AF-FF90DC1DC855}"/>
    <cellStyle name="Currency 5 2 2 3 2 2 5" xfId="2418" xr:uid="{2255A309-6C36-449A-A053-8795B56227E8}"/>
    <cellStyle name="Currency 5 2 2 3 2 2 6" xfId="1589" xr:uid="{3996DA24-50F1-4C22-9066-3A52FE3056D0}"/>
    <cellStyle name="Currency 5 2 2 3 2 3" xfId="3660" xr:uid="{F2B094AD-2060-4D6B-8C1E-AB5B33605EBB}"/>
    <cellStyle name="Currency 5 2 2 3 2 3 2" xfId="5889" xr:uid="{AF61B325-338E-428A-AE86-39AD64814B24}"/>
    <cellStyle name="Currency 5 2 2 3 2 3 2 2" xfId="10107" xr:uid="{1F0ACC5C-C4C2-4DE1-B7F7-35818CE7FF11}"/>
    <cellStyle name="Currency 5 2 2 3 2 3 3" xfId="7962" xr:uid="{9E87388E-7A09-4F73-A92F-83D14D40F777}"/>
    <cellStyle name="Currency 5 2 2 3 2 4" xfId="4073" xr:uid="{C54EDA45-F6A0-41D0-A5BD-6518626EED6F}"/>
    <cellStyle name="Currency 5 2 2 3 2 4 2" xfId="6302" xr:uid="{5250412A-6681-414C-8065-D431A22F9A22}"/>
    <cellStyle name="Currency 5 2 2 3 2 4 2 2" xfId="10520" xr:uid="{A4F0C498-A5AD-478B-9E17-03E461B9535B}"/>
    <cellStyle name="Currency 5 2 2 3 2 4 3" xfId="8375" xr:uid="{2C7A70D9-1C94-47E2-89D1-B6FA84FACCA8}"/>
    <cellStyle name="Currency 5 2 2 3 2 5" xfId="4486" xr:uid="{51AC8ACC-4E5B-48A5-8868-7538C36A807D}"/>
    <cellStyle name="Currency 5 2 2 3 2 5 2" xfId="6715" xr:uid="{978C40CB-0524-44D0-9FAF-20C7113888CE}"/>
    <cellStyle name="Currency 5 2 2 3 2 5 2 2" xfId="10933" xr:uid="{EB14FF03-520F-490F-AEC2-12FD11F36F55}"/>
    <cellStyle name="Currency 5 2 2 3 2 5 3" xfId="8788" xr:uid="{F1D6583D-DECE-4E12-8C46-3FBA9171F28E}"/>
    <cellStyle name="Currency 5 2 2 3 2 6" xfId="4921" xr:uid="{F2908ADE-5B5C-48E2-9837-C2E690571305}"/>
    <cellStyle name="Currency 5 2 2 3 2 6 2" xfId="9201" xr:uid="{25499136-5D44-4D83-A2CC-3FB3C0F9B8F7}"/>
    <cellStyle name="Currency 5 2 2 3 2 7" xfId="5218" xr:uid="{5EC39AC5-7868-4304-98E0-403F786339C0}"/>
    <cellStyle name="Currency 5 2 2 3 2 8" xfId="5299" xr:uid="{0E0EA6B5-FC12-4F0C-B192-6B76050D52F6}"/>
    <cellStyle name="Currency 5 2 2 3 2 8 2" xfId="9518" xr:uid="{37757ECB-1231-46A8-9E83-19112016F07F}"/>
    <cellStyle name="Currency 5 2 2 3 2 9" xfId="7135" xr:uid="{AF6CCC05-694B-4BBA-AA9F-36081D53B537}"/>
    <cellStyle name="Currency 5 2 2 3 3" xfId="734" xr:uid="{00000000-0005-0000-0000-000066010000}"/>
    <cellStyle name="Currency 5 2 2 3 3 2" xfId="5475" xr:uid="{348B5B5E-322A-485A-84AB-05B561E7B1A4}"/>
    <cellStyle name="Currency 5 2 2 3 3 2 2" xfId="9693" xr:uid="{04F0A60C-C9F8-448C-B6D1-CD54413F08AE}"/>
    <cellStyle name="Currency 5 2 2 3 3 3" xfId="7548" xr:uid="{B961089D-4EE1-436B-9A06-04BB86074F4D}"/>
    <cellStyle name="Currency 5 2 2 3 3 4" xfId="3245" xr:uid="{CFC65900-E6DB-47CA-A78B-84757699E735}"/>
    <cellStyle name="Currency 5 2 2 3 3 5" xfId="2417" xr:uid="{19ECDB9A-675F-4654-94C0-12CBFB1EAE30}"/>
    <cellStyle name="Currency 5 2 2 3 3 6" xfId="1588" xr:uid="{B6B868B9-6D75-4A49-B118-80D30F6C32EC}"/>
    <cellStyle name="Currency 5 2 2 3 4" xfId="3659" xr:uid="{20EB9B6B-D48D-4653-8702-2B7B8093BEB4}"/>
    <cellStyle name="Currency 5 2 2 3 4 2" xfId="5888" xr:uid="{DA929A72-6EC4-4D46-B9BD-80B7FA9E04A2}"/>
    <cellStyle name="Currency 5 2 2 3 4 2 2" xfId="10106" xr:uid="{945CB2EF-46B7-4F1D-AD23-03CEBC7FEAF9}"/>
    <cellStyle name="Currency 5 2 2 3 4 3" xfId="7961" xr:uid="{2A3F727C-A27C-4448-BD1E-D7D5AB5BD7F7}"/>
    <cellStyle name="Currency 5 2 2 3 5" xfId="4072" xr:uid="{0503E26E-4987-4E7A-B66E-C28A07812B9B}"/>
    <cellStyle name="Currency 5 2 2 3 5 2" xfId="6301" xr:uid="{525C1068-C9DF-41F4-9851-A6B77B971DC5}"/>
    <cellStyle name="Currency 5 2 2 3 5 2 2" xfId="10519" xr:uid="{A2E6A9C5-6E71-4342-AEA1-87D6533F8A84}"/>
    <cellStyle name="Currency 5 2 2 3 5 3" xfId="8374" xr:uid="{6C9017A9-4C96-47C6-9D1A-CE51A2ECD7B6}"/>
    <cellStyle name="Currency 5 2 2 3 6" xfId="4485" xr:uid="{330128B7-4024-43D4-892B-9AC2F41CE6FA}"/>
    <cellStyle name="Currency 5 2 2 3 6 2" xfId="6714" xr:uid="{6923591B-ABDE-4271-AFFF-8367BFFAE7CD}"/>
    <cellStyle name="Currency 5 2 2 3 6 2 2" xfId="10932" xr:uid="{3082ECDF-FA87-4091-A4BF-72CB2E545F20}"/>
    <cellStyle name="Currency 5 2 2 3 6 3" xfId="8787" xr:uid="{6B6F8622-FBB2-465D-BEE3-0BD9CA62D5C3}"/>
    <cellStyle name="Currency 5 2 2 3 7" xfId="4920" xr:uid="{D3DD0550-1244-48DB-85EA-C3BD730082A5}"/>
    <cellStyle name="Currency 5 2 2 3 7 2" xfId="9200" xr:uid="{A2A8FED6-34E4-4B1B-8B3A-4993C91457DD}"/>
    <cellStyle name="Currency 5 2 2 3 8" xfId="5217" xr:uid="{25DB6031-7879-402D-BC9D-7123EDCF86A1}"/>
    <cellStyle name="Currency 5 2 2 3 9" xfId="5298" xr:uid="{A96B79CB-01C0-477E-A6AE-E6EDF1AB9B14}"/>
    <cellStyle name="Currency 5 2 2 3 9 2" xfId="9517" xr:uid="{4E4C29A3-8EC2-44D4-989B-737BDC3C9EF1}"/>
    <cellStyle name="Currency 5 2 2 4" xfId="203" xr:uid="{00000000-0005-0000-0000-000067010000}"/>
    <cellStyle name="Currency 5 2 2 4 10" xfId="2832" xr:uid="{3A6FDCA2-F1FA-4E49-B1F2-959D70307234}"/>
    <cellStyle name="Currency 5 2 2 4 11" xfId="2003" xr:uid="{C4CAD100-16C9-4F1D-9C9A-D010DE2E227D}"/>
    <cellStyle name="Currency 5 2 2 4 12" xfId="1174" xr:uid="{DF0D7D23-508C-4CA5-A6FA-1816C54CD123}"/>
    <cellStyle name="Currency 5 2 2 4 2" xfId="736" xr:uid="{00000000-0005-0000-0000-000068010000}"/>
    <cellStyle name="Currency 5 2 2 4 2 2" xfId="5477" xr:uid="{A21AB826-8720-46F3-8BB0-46DC7A0B8974}"/>
    <cellStyle name="Currency 5 2 2 4 2 2 2" xfId="9695" xr:uid="{A662C702-4F11-4425-BC57-AB202F165BEE}"/>
    <cellStyle name="Currency 5 2 2 4 2 3" xfId="7550" xr:uid="{457393CA-C161-4C57-A33D-540CB529A020}"/>
    <cellStyle name="Currency 5 2 2 4 2 4" xfId="3247" xr:uid="{3F592FAF-24A0-47B2-AEFD-FF1DED1E30B1}"/>
    <cellStyle name="Currency 5 2 2 4 2 5" xfId="2419" xr:uid="{FE3D4610-F851-4917-BB68-2B472D9644DE}"/>
    <cellStyle name="Currency 5 2 2 4 2 6" xfId="1590" xr:uid="{8E347C70-B8F8-4BFE-970F-1C0385E39B61}"/>
    <cellStyle name="Currency 5 2 2 4 3" xfId="3661" xr:uid="{A4483F89-E935-4FA9-B393-E9DA6868E1C5}"/>
    <cellStyle name="Currency 5 2 2 4 3 2" xfId="5890" xr:uid="{EB2D0AC2-6780-4318-BA76-2CF2A8EBD705}"/>
    <cellStyle name="Currency 5 2 2 4 3 2 2" xfId="10108" xr:uid="{286B600F-490B-43AD-9BEE-7561DAAF0EBE}"/>
    <cellStyle name="Currency 5 2 2 4 3 3" xfId="7963" xr:uid="{870A787F-A981-4F3F-8A29-F0AC9DB7120C}"/>
    <cellStyle name="Currency 5 2 2 4 4" xfId="4074" xr:uid="{D8D6CB17-482E-4673-AB06-6A8E30F5BEE9}"/>
    <cellStyle name="Currency 5 2 2 4 4 2" xfId="6303" xr:uid="{D8A34D1A-FC8F-4720-9F10-8048EC91EF8D}"/>
    <cellStyle name="Currency 5 2 2 4 4 2 2" xfId="10521" xr:uid="{ED11A348-5499-42F8-8B7F-EE7EA452C450}"/>
    <cellStyle name="Currency 5 2 2 4 4 3" xfId="8376" xr:uid="{1241784E-E1A3-4F15-A71A-302112B199DC}"/>
    <cellStyle name="Currency 5 2 2 4 5" xfId="4487" xr:uid="{DFFB367F-B277-4F57-B6BF-76AC77C23F11}"/>
    <cellStyle name="Currency 5 2 2 4 5 2" xfId="6716" xr:uid="{43BB7FEC-085E-4255-8224-AC95FC62791A}"/>
    <cellStyle name="Currency 5 2 2 4 5 2 2" xfId="10934" xr:uid="{A7385792-AC7D-4B6B-888B-CB3BC6F200FE}"/>
    <cellStyle name="Currency 5 2 2 4 5 3" xfId="8789" xr:uid="{A82177AE-B7F0-48EC-AD38-C597EE8B7AE0}"/>
    <cellStyle name="Currency 5 2 2 4 6" xfId="4922" xr:uid="{D9CDC2DA-47B5-4673-A0B1-674502420AEA}"/>
    <cellStyle name="Currency 5 2 2 4 6 2" xfId="9202" xr:uid="{4EA99F49-F4A6-459F-8C97-44022DE32911}"/>
    <cellStyle name="Currency 5 2 2 4 7" xfId="5219" xr:uid="{998CA3DA-0292-4375-A0AA-2D47A78F2233}"/>
    <cellStyle name="Currency 5 2 2 4 8" xfId="5300" xr:uid="{789016BD-15D5-451B-97B3-291BA78E2066}"/>
    <cellStyle name="Currency 5 2 2 4 8 2" xfId="9519" xr:uid="{AA305044-1584-464F-B433-D86AAB9BECD5}"/>
    <cellStyle name="Currency 5 2 2 4 9" xfId="7136" xr:uid="{618F0844-2F71-4DFE-B64C-12CE964FAA67}"/>
    <cellStyle name="Currency 5 2 2 5" xfId="204" xr:uid="{00000000-0005-0000-0000-000069010000}"/>
    <cellStyle name="Currency 5 2 2 5 10" xfId="2833" xr:uid="{FF723381-B13A-46E5-B503-0AE2229D0619}"/>
    <cellStyle name="Currency 5 2 2 5 11" xfId="2004" xr:uid="{21856B26-DABA-43D1-B3A3-6B63B9FE42B4}"/>
    <cellStyle name="Currency 5 2 2 5 12" xfId="1175" xr:uid="{3815E6D0-B9AF-41D1-9EC9-CC0D6311D601}"/>
    <cellStyle name="Currency 5 2 2 5 2" xfId="737" xr:uid="{00000000-0005-0000-0000-00006A010000}"/>
    <cellStyle name="Currency 5 2 2 5 2 2" xfId="5478" xr:uid="{B0F53F02-5127-45E0-9BB2-3E6648B3C745}"/>
    <cellStyle name="Currency 5 2 2 5 2 2 2" xfId="9696" xr:uid="{49DC2CBC-7E3C-4F28-A079-97AD531FF21A}"/>
    <cellStyle name="Currency 5 2 2 5 2 3" xfId="7551" xr:uid="{411A243F-F0C0-4BE6-B99B-A7D4567D7734}"/>
    <cellStyle name="Currency 5 2 2 5 2 4" xfId="3248" xr:uid="{C6C148ED-29CB-49B5-9100-6BFBBF666D02}"/>
    <cellStyle name="Currency 5 2 2 5 2 5" xfId="2420" xr:uid="{15A1444C-8FAF-4063-AC68-4DC8BE2DD406}"/>
    <cellStyle name="Currency 5 2 2 5 2 6" xfId="1591" xr:uid="{784AC75A-BFB4-497A-A1ED-791CFDAB9C4C}"/>
    <cellStyle name="Currency 5 2 2 5 3" xfId="3662" xr:uid="{8BD96B4F-6369-478A-A6DA-7D742739664F}"/>
    <cellStyle name="Currency 5 2 2 5 3 2" xfId="5891" xr:uid="{7DD2F934-62D8-483F-AE7B-5B0EFBCC549D}"/>
    <cellStyle name="Currency 5 2 2 5 3 2 2" xfId="10109" xr:uid="{DE12F215-30D9-4A2E-AC8E-35CA881215C4}"/>
    <cellStyle name="Currency 5 2 2 5 3 3" xfId="7964" xr:uid="{54372A94-1278-49EB-9B08-189E2908604F}"/>
    <cellStyle name="Currency 5 2 2 5 4" xfId="4075" xr:uid="{5AA309A3-3751-4B0F-9C56-7338B73B4C45}"/>
    <cellStyle name="Currency 5 2 2 5 4 2" xfId="6304" xr:uid="{380EA866-31BA-41A2-B37F-D07DB8048DF7}"/>
    <cellStyle name="Currency 5 2 2 5 4 2 2" xfId="10522" xr:uid="{0E97B71A-AA29-4832-B0B6-4195F74A914B}"/>
    <cellStyle name="Currency 5 2 2 5 4 3" xfId="8377" xr:uid="{01DBDF2D-6249-4A46-8060-158B840C9D2F}"/>
    <cellStyle name="Currency 5 2 2 5 5" xfId="4488" xr:uid="{42593505-8D9A-4027-BA4F-C657591DE6C5}"/>
    <cellStyle name="Currency 5 2 2 5 5 2" xfId="6717" xr:uid="{9FB27828-2B00-4B12-BE14-00AA8C4C3A4D}"/>
    <cellStyle name="Currency 5 2 2 5 5 2 2" xfId="10935" xr:uid="{45D35FF0-58F5-47B8-A3DD-FC463D05A5D6}"/>
    <cellStyle name="Currency 5 2 2 5 5 3" xfId="8790" xr:uid="{340135BC-69A0-47B9-927F-C7929658B69A}"/>
    <cellStyle name="Currency 5 2 2 5 6" xfId="4923" xr:uid="{C6F4D3B0-F06C-4803-9F69-DB9FB04FB0D4}"/>
    <cellStyle name="Currency 5 2 2 5 6 2" xfId="9203" xr:uid="{3914653C-B914-41BA-B424-3873568D0020}"/>
    <cellStyle name="Currency 5 2 2 5 7" xfId="5220" xr:uid="{319EE8C6-AB31-46E3-B20B-68DFA28F98A5}"/>
    <cellStyle name="Currency 5 2 2 5 8" xfId="5301" xr:uid="{8559C966-7E9E-4F2C-9F78-7EDA2E4E3948}"/>
    <cellStyle name="Currency 5 2 2 5 8 2" xfId="9520" xr:uid="{06B1EC71-DCA1-40C1-BC0A-B38E5E9F93D1}"/>
    <cellStyle name="Currency 5 2 2 5 9" xfId="7137" xr:uid="{A848A8F7-5523-4390-A2F1-90085FB6F931}"/>
    <cellStyle name="Currency 5 2 3" xfId="205" xr:uid="{00000000-0005-0000-0000-00006B010000}"/>
    <cellStyle name="Currency 5 2 3 2" xfId="738" xr:uid="{00000000-0005-0000-0000-00006C010000}"/>
    <cellStyle name="Currency 5 2 4" xfId="206" xr:uid="{00000000-0005-0000-0000-00006D010000}"/>
    <cellStyle name="Currency 5 2 4 10" xfId="7138" xr:uid="{3E310D70-0584-4AB2-AE60-CCFD17ECAA72}"/>
    <cellStyle name="Currency 5 2 4 11" xfId="2834" xr:uid="{F36C5B32-9DF5-49F6-8E9F-CD35B4AB6EDD}"/>
    <cellStyle name="Currency 5 2 4 12" xfId="2005" xr:uid="{868739C4-FD1C-48FE-8BB2-F6FEBE2DCC60}"/>
    <cellStyle name="Currency 5 2 4 13" xfId="1176" xr:uid="{834A16E3-D753-4772-B3CE-6B78482AA369}"/>
    <cellStyle name="Currency 5 2 4 2" xfId="207" xr:uid="{00000000-0005-0000-0000-00006E010000}"/>
    <cellStyle name="Currency 5 2 4 2 10" xfId="2835" xr:uid="{5796D90C-79DA-4AB5-ADE7-435E8B86C3F7}"/>
    <cellStyle name="Currency 5 2 4 2 11" xfId="2006" xr:uid="{70FEBBB8-6128-425D-8F32-8C9EA095ED41}"/>
    <cellStyle name="Currency 5 2 4 2 12" xfId="1177" xr:uid="{4A48EDFB-1444-43AA-B5A1-665565CDE9E2}"/>
    <cellStyle name="Currency 5 2 4 2 2" xfId="740" xr:uid="{00000000-0005-0000-0000-00006F010000}"/>
    <cellStyle name="Currency 5 2 4 2 2 2" xfId="5480" xr:uid="{5B83D85F-9688-4FAE-B08A-96D7B56A3332}"/>
    <cellStyle name="Currency 5 2 4 2 2 2 2" xfId="9698" xr:uid="{6EC91373-E447-4D2D-9446-8EF317F2D0E8}"/>
    <cellStyle name="Currency 5 2 4 2 2 3" xfId="7553" xr:uid="{7727FADB-789F-47DB-8903-78AC907AD5FB}"/>
    <cellStyle name="Currency 5 2 4 2 2 4" xfId="3250" xr:uid="{B901B060-BE43-41A1-B092-64BD467D4498}"/>
    <cellStyle name="Currency 5 2 4 2 2 5" xfId="2422" xr:uid="{3256C902-AF52-4422-9BCB-98FAEED41091}"/>
    <cellStyle name="Currency 5 2 4 2 2 6" xfId="1593" xr:uid="{CE4511BB-E7F0-407E-A7D1-6A914D68FD5D}"/>
    <cellStyle name="Currency 5 2 4 2 3" xfId="3664" xr:uid="{F75EB95C-03D4-44D8-8FF9-77C233D9C67C}"/>
    <cellStyle name="Currency 5 2 4 2 3 2" xfId="5893" xr:uid="{F90561ED-55D9-471E-A8E4-707A1570B092}"/>
    <cellStyle name="Currency 5 2 4 2 3 2 2" xfId="10111" xr:uid="{0E62262F-E7A2-45E6-A419-0E2ACEAE7A16}"/>
    <cellStyle name="Currency 5 2 4 2 3 3" xfId="7966" xr:uid="{731D0408-B1C8-48EE-9642-166C549EE12B}"/>
    <cellStyle name="Currency 5 2 4 2 4" xfId="4077" xr:uid="{B4D3E02B-F239-4045-85DE-215B61A80BF8}"/>
    <cellStyle name="Currency 5 2 4 2 4 2" xfId="6306" xr:uid="{C85DBB17-3798-4F38-A5D1-5F092E6BBC26}"/>
    <cellStyle name="Currency 5 2 4 2 4 2 2" xfId="10524" xr:uid="{EAD22D16-A4C8-42CB-9351-9CCD9B60A1D3}"/>
    <cellStyle name="Currency 5 2 4 2 4 3" xfId="8379" xr:uid="{F4FFD216-1CC0-4AEC-A5FE-EA48D58BE26C}"/>
    <cellStyle name="Currency 5 2 4 2 5" xfId="4490" xr:uid="{03BA56B8-CB43-446A-AE9B-E1B31AE86F4D}"/>
    <cellStyle name="Currency 5 2 4 2 5 2" xfId="6719" xr:uid="{9269583E-8A17-408A-AAFA-BA40819D0B8F}"/>
    <cellStyle name="Currency 5 2 4 2 5 2 2" xfId="10937" xr:uid="{D19365BC-4194-4E08-81E1-7D440AC9CB18}"/>
    <cellStyle name="Currency 5 2 4 2 5 3" xfId="8792" xr:uid="{6B1DF9F1-07AC-44C2-9D26-BBB8F48ED013}"/>
    <cellStyle name="Currency 5 2 4 2 6" xfId="4925" xr:uid="{BB6EE608-B8E8-41F4-93E1-886584453158}"/>
    <cellStyle name="Currency 5 2 4 2 6 2" xfId="9205" xr:uid="{0D292A33-6A6B-4610-B14A-F9676DBFFA85}"/>
    <cellStyle name="Currency 5 2 4 2 7" xfId="5222" xr:uid="{171B2125-A0D2-438B-B630-A4B24B663B78}"/>
    <cellStyle name="Currency 5 2 4 2 8" xfId="5303" xr:uid="{661D34E1-602B-44C2-92C4-3DAC2C444592}"/>
    <cellStyle name="Currency 5 2 4 2 8 2" xfId="9522" xr:uid="{38341717-0CA6-46D1-9927-B88E9376C5CB}"/>
    <cellStyle name="Currency 5 2 4 2 9" xfId="7139" xr:uid="{519A82A5-04BA-461A-BDF6-CEA134676291}"/>
    <cellStyle name="Currency 5 2 4 3" xfId="739" xr:uid="{00000000-0005-0000-0000-000070010000}"/>
    <cellStyle name="Currency 5 2 4 3 2" xfId="5479" xr:uid="{12100DF4-FBCE-4ECE-9BFD-73832E057D76}"/>
    <cellStyle name="Currency 5 2 4 3 2 2" xfId="9697" xr:uid="{B92A5655-E487-4DC1-A1EE-ABA71976F742}"/>
    <cellStyle name="Currency 5 2 4 3 3" xfId="7552" xr:uid="{02912213-9617-4631-A224-39C2F48827B8}"/>
    <cellStyle name="Currency 5 2 4 3 4" xfId="3249" xr:uid="{B4DEB41F-3B2A-41B8-B6B7-504EF8150F70}"/>
    <cellStyle name="Currency 5 2 4 3 5" xfId="2421" xr:uid="{1BE05105-1998-4673-B90A-8CEF8F69D1D9}"/>
    <cellStyle name="Currency 5 2 4 3 6" xfId="1592" xr:uid="{8C326089-4681-4C40-9BD5-2B9BD9AECECA}"/>
    <cellStyle name="Currency 5 2 4 4" xfId="3663" xr:uid="{885A6CE7-1409-4CD4-A717-D034C26DAEF8}"/>
    <cellStyle name="Currency 5 2 4 4 2" xfId="5892" xr:uid="{5DFA9DF7-CC3E-4183-A8E0-2E08EA9FB5AB}"/>
    <cellStyle name="Currency 5 2 4 4 2 2" xfId="10110" xr:uid="{0BA8500E-B62A-4571-BF4E-A3EE350395E8}"/>
    <cellStyle name="Currency 5 2 4 4 3" xfId="7965" xr:uid="{90DCB3BD-DA9A-416A-B849-A16B7DAE9902}"/>
    <cellStyle name="Currency 5 2 4 5" xfId="4076" xr:uid="{D9097DF4-84D0-4AFC-805A-8CF667745904}"/>
    <cellStyle name="Currency 5 2 4 5 2" xfId="6305" xr:uid="{8A62E1A0-24D1-411C-A6EC-22B3739A8680}"/>
    <cellStyle name="Currency 5 2 4 5 2 2" xfId="10523" xr:uid="{6576866F-AA99-4E9F-A23F-A1EE83ED381E}"/>
    <cellStyle name="Currency 5 2 4 5 3" xfId="8378" xr:uid="{55E913DD-E90A-4B10-86F9-5DE3A7BB65AB}"/>
    <cellStyle name="Currency 5 2 4 6" xfId="4489" xr:uid="{4049948D-6B11-4BA8-84F6-D35C20E3A14B}"/>
    <cellStyle name="Currency 5 2 4 6 2" xfId="6718" xr:uid="{A5AF930A-4225-4F16-8705-4A39B3D581C0}"/>
    <cellStyle name="Currency 5 2 4 6 2 2" xfId="10936" xr:uid="{70615A07-2B83-4246-8EAA-4FA7310A076A}"/>
    <cellStyle name="Currency 5 2 4 6 3" xfId="8791" xr:uid="{E65EA28A-BE4C-4D1F-BABC-317A811C4D31}"/>
    <cellStyle name="Currency 5 2 4 7" xfId="4924" xr:uid="{3FA4358D-3FEE-42A7-A7B2-BFFE9A4AFA26}"/>
    <cellStyle name="Currency 5 2 4 7 2" xfId="9204" xr:uid="{E017495F-2ED6-4143-94A4-BFEDE1126C9D}"/>
    <cellStyle name="Currency 5 2 4 8" xfId="5221" xr:uid="{555B7759-7D37-4097-B631-C051F3046F2A}"/>
    <cellStyle name="Currency 5 2 4 9" xfId="5302" xr:uid="{C6956198-CA79-431E-8599-19E929F26E18}"/>
    <cellStyle name="Currency 5 2 4 9 2" xfId="9521" xr:uid="{297998F7-B31D-458D-950C-CE2D579DC4AA}"/>
    <cellStyle name="Currency 5 2 5" xfId="208" xr:uid="{00000000-0005-0000-0000-000071010000}"/>
    <cellStyle name="Currency 5 2 5 10" xfId="2836" xr:uid="{A5C201E8-5A3C-415E-98D2-00B6C2FB3C24}"/>
    <cellStyle name="Currency 5 2 5 11" xfId="2007" xr:uid="{D872815F-D1EA-4A0C-95A3-69AE519DF27F}"/>
    <cellStyle name="Currency 5 2 5 12" xfId="1178" xr:uid="{2292CD39-2383-4707-B7C1-EDB7F49E7086}"/>
    <cellStyle name="Currency 5 2 5 2" xfId="741" xr:uid="{00000000-0005-0000-0000-000072010000}"/>
    <cellStyle name="Currency 5 2 5 2 2" xfId="5481" xr:uid="{7DD9921B-9147-414A-A821-670E63981CFC}"/>
    <cellStyle name="Currency 5 2 5 2 2 2" xfId="9699" xr:uid="{D730D0F2-0E56-41D5-BB64-4EF2991252EC}"/>
    <cellStyle name="Currency 5 2 5 2 3" xfId="7554" xr:uid="{219407C8-7E43-410D-A926-CB36D5F237C8}"/>
    <cellStyle name="Currency 5 2 5 2 4" xfId="3251" xr:uid="{27994CFC-BD9D-4C1D-82FA-4D91B8CE331E}"/>
    <cellStyle name="Currency 5 2 5 2 5" xfId="2423" xr:uid="{1DE6540D-846F-41BF-A583-F980A0A2CED5}"/>
    <cellStyle name="Currency 5 2 5 2 6" xfId="1594" xr:uid="{DEBD2B31-545A-4B60-ACBE-702B0AA81243}"/>
    <cellStyle name="Currency 5 2 5 3" xfId="3665" xr:uid="{300BC981-94BE-4311-8B12-10F22ED63D7D}"/>
    <cellStyle name="Currency 5 2 5 3 2" xfId="5894" xr:uid="{EF61A653-F77B-41AF-A2F9-98EC28340B32}"/>
    <cellStyle name="Currency 5 2 5 3 2 2" xfId="10112" xr:uid="{0400B5D0-2E7E-4612-AC45-457AB2B85BDA}"/>
    <cellStyle name="Currency 5 2 5 3 3" xfId="7967" xr:uid="{17E7FC36-ADAF-4682-B77A-F090F5CEBDBE}"/>
    <cellStyle name="Currency 5 2 5 4" xfId="4078" xr:uid="{986265B6-139D-42F5-BE7C-34A06BB07F9C}"/>
    <cellStyle name="Currency 5 2 5 4 2" xfId="6307" xr:uid="{759DCEE5-3372-4B9C-93BB-B82EDB5690DE}"/>
    <cellStyle name="Currency 5 2 5 4 2 2" xfId="10525" xr:uid="{36C535A0-E403-4F6F-810A-92B0F627BA6F}"/>
    <cellStyle name="Currency 5 2 5 4 3" xfId="8380" xr:uid="{9AADEB52-86F5-46B5-914B-5FF52D2995C2}"/>
    <cellStyle name="Currency 5 2 5 5" xfId="4491" xr:uid="{12754BBE-DBB0-4DEB-98D6-55D5407A8A3B}"/>
    <cellStyle name="Currency 5 2 5 5 2" xfId="6720" xr:uid="{59695010-9C34-42FB-8968-970CD86AB8F6}"/>
    <cellStyle name="Currency 5 2 5 5 2 2" xfId="10938" xr:uid="{4D1B259A-80D7-4808-9C8D-4DF681293F28}"/>
    <cellStyle name="Currency 5 2 5 5 3" xfId="8793" xr:uid="{7D2CBD2D-7E35-49B1-808F-20B719A47EEB}"/>
    <cellStyle name="Currency 5 2 5 6" xfId="4926" xr:uid="{E556B969-31BF-45BD-B9B0-B81DADFADBA4}"/>
    <cellStyle name="Currency 5 2 5 6 2" xfId="9206" xr:uid="{B2DF0F7D-9649-4BD0-A03C-2BF2E236AF07}"/>
    <cellStyle name="Currency 5 2 5 7" xfId="5223" xr:uid="{D15BC211-599E-4562-8968-4ED62F1170F1}"/>
    <cellStyle name="Currency 5 2 5 8" xfId="5304" xr:uid="{DA1311F6-4DC4-4D2B-89B8-BD0B49808118}"/>
    <cellStyle name="Currency 5 2 5 8 2" xfId="9523" xr:uid="{BA83BFF0-B19D-4CDC-A301-FC5E4BA3E5BC}"/>
    <cellStyle name="Currency 5 2 5 9" xfId="7140" xr:uid="{FF3BBB10-CD26-4F2F-A75D-0491A24A2252}"/>
    <cellStyle name="Currency 5 2 6" xfId="209" xr:uid="{00000000-0005-0000-0000-000073010000}"/>
    <cellStyle name="Currency 5 2 6 10" xfId="2837" xr:uid="{82E340ED-5ECD-4A71-9DD6-E3DA7EFD104A}"/>
    <cellStyle name="Currency 5 2 6 11" xfId="2008" xr:uid="{B8E0F962-9920-4390-82C9-26AD89379905}"/>
    <cellStyle name="Currency 5 2 6 12" xfId="1179" xr:uid="{39D2E19F-1F44-4EBB-B6B5-B5FD6D5ED0BF}"/>
    <cellStyle name="Currency 5 2 6 2" xfId="742" xr:uid="{00000000-0005-0000-0000-000074010000}"/>
    <cellStyle name="Currency 5 2 6 2 2" xfId="5482" xr:uid="{F898BB5E-4343-4FA9-9FF6-25C370252996}"/>
    <cellStyle name="Currency 5 2 6 2 2 2" xfId="9700" xr:uid="{044E619D-02A5-4397-B835-92C4ECABDBF9}"/>
    <cellStyle name="Currency 5 2 6 2 3" xfId="7555" xr:uid="{FCFDC073-C912-4062-B3B0-8D01A75BD2E2}"/>
    <cellStyle name="Currency 5 2 6 2 4" xfId="3252" xr:uid="{B968DE63-047C-4A89-97C7-8AD05BFCC037}"/>
    <cellStyle name="Currency 5 2 6 2 5" xfId="2424" xr:uid="{079C0AED-D024-442B-8129-50A011E5FE7C}"/>
    <cellStyle name="Currency 5 2 6 2 6" xfId="1595" xr:uid="{5F4F16B0-F6DB-40F0-A232-937588E85B90}"/>
    <cellStyle name="Currency 5 2 6 3" xfId="3666" xr:uid="{F8E7518F-9EAD-4300-9A73-7AD7A8871070}"/>
    <cellStyle name="Currency 5 2 6 3 2" xfId="5895" xr:uid="{D168AB21-4C28-4D82-B1CA-5B83696D7D96}"/>
    <cellStyle name="Currency 5 2 6 3 2 2" xfId="10113" xr:uid="{8D6C4726-3236-4E7D-9BF6-B949441208D6}"/>
    <cellStyle name="Currency 5 2 6 3 3" xfId="7968" xr:uid="{FBC26BD8-AEC4-4A1C-A243-1BF44DEAFCF1}"/>
    <cellStyle name="Currency 5 2 6 4" xfId="4079" xr:uid="{FE8AAB83-A196-49CE-BE4C-7F0F8C51F2A0}"/>
    <cellStyle name="Currency 5 2 6 4 2" xfId="6308" xr:uid="{80B5392E-7DDA-455E-A711-3ABAAF99C2F5}"/>
    <cellStyle name="Currency 5 2 6 4 2 2" xfId="10526" xr:uid="{D285974E-AA96-4E8E-9367-59310C23077C}"/>
    <cellStyle name="Currency 5 2 6 4 3" xfId="8381" xr:uid="{8C835462-8F84-4677-A6B8-A982D9AC537B}"/>
    <cellStyle name="Currency 5 2 6 5" xfId="4492" xr:uid="{3EF9DDC5-3E1F-404D-83B8-6E43EF63D46B}"/>
    <cellStyle name="Currency 5 2 6 5 2" xfId="6721" xr:uid="{99780E11-DC85-4ADB-B289-06C317A8AC30}"/>
    <cellStyle name="Currency 5 2 6 5 2 2" xfId="10939" xr:uid="{B007260C-533A-49A2-A5F0-91EE36535432}"/>
    <cellStyle name="Currency 5 2 6 5 3" xfId="8794" xr:uid="{0416EEBA-6773-453F-B5A5-58CDB56E470C}"/>
    <cellStyle name="Currency 5 2 6 6" xfId="4927" xr:uid="{31B7CB12-3FD1-4F55-80EF-D13CD05B5572}"/>
    <cellStyle name="Currency 5 2 6 6 2" xfId="9207" xr:uid="{F923D9A7-C5A3-4FB5-A389-F8A0DF5D4E42}"/>
    <cellStyle name="Currency 5 2 6 7" xfId="5224" xr:uid="{B1D572CD-F9E4-41B7-BF8A-5AB0DBC16834}"/>
    <cellStyle name="Currency 5 2 6 8" xfId="5305" xr:uid="{1EFF9E2F-8D79-42EA-96EB-18C2133ABEB8}"/>
    <cellStyle name="Currency 5 2 6 8 2" xfId="9524" xr:uid="{86D7591F-A5A8-4D5B-8E6B-B318C758631F}"/>
    <cellStyle name="Currency 5 2 6 9" xfId="7141" xr:uid="{26DA82CC-BC56-4C90-9A6A-F1295E825332}"/>
    <cellStyle name="Currency 5 2 7" xfId="729" xr:uid="{00000000-0005-0000-0000-000075010000}"/>
    <cellStyle name="Currency 5 3" xfId="210" xr:uid="{00000000-0005-0000-0000-000076010000}"/>
    <cellStyle name="Currency 5 3 2" xfId="211" xr:uid="{00000000-0005-0000-0000-000077010000}"/>
    <cellStyle name="Currency 5 3 2 10" xfId="5306" xr:uid="{3E5F53B0-5CA4-4A77-BC37-13271C701261}"/>
    <cellStyle name="Currency 5 3 2 10 2" xfId="9525" xr:uid="{02E9D768-B335-4A5E-9E15-8160D884E6DB}"/>
    <cellStyle name="Currency 5 3 2 11" xfId="7142" xr:uid="{93F23348-5263-4B67-8572-5DC2FF11EC7C}"/>
    <cellStyle name="Currency 5 3 2 12" xfId="2838" xr:uid="{EB3BD55F-5EFA-4D61-8C6E-342B7606BFC1}"/>
    <cellStyle name="Currency 5 3 2 13" xfId="2009" xr:uid="{32D6DE6B-DF47-42F3-BB6A-807EF1D85D34}"/>
    <cellStyle name="Currency 5 3 2 14" xfId="1180" xr:uid="{4EB5C549-131C-4744-8DD7-9B0CCBA3DE91}"/>
    <cellStyle name="Currency 5 3 2 2" xfId="212" xr:uid="{00000000-0005-0000-0000-000078010000}"/>
    <cellStyle name="Currency 5 3 2 2 10" xfId="7143" xr:uid="{395ECAB5-4888-4B51-9794-5517A0ADBDF5}"/>
    <cellStyle name="Currency 5 3 2 2 11" xfId="2839" xr:uid="{38D74208-E02F-4A80-8F3F-ABB496F6CF47}"/>
    <cellStyle name="Currency 5 3 2 2 12" xfId="2010" xr:uid="{5691F9D9-4096-4E2B-80E1-71258787AE06}"/>
    <cellStyle name="Currency 5 3 2 2 13" xfId="1181" xr:uid="{914A2361-46C4-458C-901B-721EF05F8121}"/>
    <cellStyle name="Currency 5 3 2 2 2" xfId="213" xr:uid="{00000000-0005-0000-0000-000079010000}"/>
    <cellStyle name="Currency 5 3 2 2 2 10" xfId="2840" xr:uid="{C313D082-3C31-40AA-B9B9-B056B3B7D922}"/>
    <cellStyle name="Currency 5 3 2 2 2 11" xfId="2011" xr:uid="{12D3FF42-11A2-4D4E-80CC-96FBA94EE745}"/>
    <cellStyle name="Currency 5 3 2 2 2 12" xfId="1182" xr:uid="{878251ED-E94D-477C-AE67-1DC003E3A9AA}"/>
    <cellStyle name="Currency 5 3 2 2 2 2" xfId="745" xr:uid="{00000000-0005-0000-0000-00007A010000}"/>
    <cellStyle name="Currency 5 3 2 2 2 2 2" xfId="5485" xr:uid="{6BE873CF-A6B2-4D5D-BDA4-2F6972DC32D1}"/>
    <cellStyle name="Currency 5 3 2 2 2 2 2 2" xfId="9703" xr:uid="{AEE4E733-CB08-478B-8220-E0C56215EFE1}"/>
    <cellStyle name="Currency 5 3 2 2 2 2 3" xfId="7558" xr:uid="{4CC4D0D8-CE06-4780-BCFD-8542307E4BB5}"/>
    <cellStyle name="Currency 5 3 2 2 2 2 4" xfId="3255" xr:uid="{A842753D-A23F-4714-A7CD-2B7F96B4C529}"/>
    <cellStyle name="Currency 5 3 2 2 2 2 5" xfId="2427" xr:uid="{5CC78FEC-A933-48A8-B4F1-DD31461661EA}"/>
    <cellStyle name="Currency 5 3 2 2 2 2 6" xfId="1598" xr:uid="{F6FE89B9-E380-4566-96BB-439C3DABDB45}"/>
    <cellStyle name="Currency 5 3 2 2 2 3" xfId="3669" xr:uid="{91C2B490-A6BE-4863-9385-053A6C65C1AD}"/>
    <cellStyle name="Currency 5 3 2 2 2 3 2" xfId="5898" xr:uid="{EF37F202-4170-43F2-A59E-53BB5724BC3B}"/>
    <cellStyle name="Currency 5 3 2 2 2 3 2 2" xfId="10116" xr:uid="{9FED1A83-99FA-4E90-862C-16251D13E14B}"/>
    <cellStyle name="Currency 5 3 2 2 2 3 3" xfId="7971" xr:uid="{829EA3D5-8132-44BC-BA42-B05E6EF2FCA8}"/>
    <cellStyle name="Currency 5 3 2 2 2 4" xfId="4082" xr:uid="{AE9C1E78-5E13-413D-B5C1-AEE546B31E0B}"/>
    <cellStyle name="Currency 5 3 2 2 2 4 2" xfId="6311" xr:uid="{7E7F8D44-9FBE-4EFA-AA68-BC71C9545C67}"/>
    <cellStyle name="Currency 5 3 2 2 2 4 2 2" xfId="10529" xr:uid="{F34B4074-A83A-4446-880C-0CC0A2C52C9A}"/>
    <cellStyle name="Currency 5 3 2 2 2 4 3" xfId="8384" xr:uid="{8516B5DA-EE96-47E2-906F-001E4E19DA97}"/>
    <cellStyle name="Currency 5 3 2 2 2 5" xfId="4495" xr:uid="{FBE28623-12C5-46B9-8280-43AABBDF0642}"/>
    <cellStyle name="Currency 5 3 2 2 2 5 2" xfId="6724" xr:uid="{225C2DFC-5915-424A-A9A3-494BA177D908}"/>
    <cellStyle name="Currency 5 3 2 2 2 5 2 2" xfId="10942" xr:uid="{3CA224C6-D0DB-4C52-BD58-347C0983C8F8}"/>
    <cellStyle name="Currency 5 3 2 2 2 5 3" xfId="8797" xr:uid="{F7EFC834-CAC1-4813-B70C-3C506979D229}"/>
    <cellStyle name="Currency 5 3 2 2 2 6" xfId="4930" xr:uid="{5668748A-CECE-45E8-A1C2-95D7F40F83CE}"/>
    <cellStyle name="Currency 5 3 2 2 2 6 2" xfId="9210" xr:uid="{A58D9BBE-366A-4560-9A01-296884B7A684}"/>
    <cellStyle name="Currency 5 3 2 2 2 7" xfId="5227" xr:uid="{895D7C39-D89A-4B5E-A8D5-E4FA9412507B}"/>
    <cellStyle name="Currency 5 3 2 2 2 8" xfId="5308" xr:uid="{F9679777-FB17-4B91-928C-90F03FB3D6E8}"/>
    <cellStyle name="Currency 5 3 2 2 2 8 2" xfId="9527" xr:uid="{DC52AB7B-477C-4944-9E06-9969CB5C770C}"/>
    <cellStyle name="Currency 5 3 2 2 2 9" xfId="7144" xr:uid="{E58BC1DC-49E1-47C8-A419-56D2D6201D00}"/>
    <cellStyle name="Currency 5 3 2 2 3" xfId="744" xr:uid="{00000000-0005-0000-0000-00007B010000}"/>
    <cellStyle name="Currency 5 3 2 2 3 2" xfId="5484" xr:uid="{D29CE67B-7B2D-4CBB-9B38-3D926F974EDE}"/>
    <cellStyle name="Currency 5 3 2 2 3 2 2" xfId="9702" xr:uid="{833E4ABB-9127-4790-B35A-FA2E3BA94376}"/>
    <cellStyle name="Currency 5 3 2 2 3 3" xfId="7557" xr:uid="{8D6EEEBF-D1FB-4277-8B02-18CAC5DA576C}"/>
    <cellStyle name="Currency 5 3 2 2 3 4" xfId="3254" xr:uid="{6995C965-122E-4C08-BD2C-B960FBC7E161}"/>
    <cellStyle name="Currency 5 3 2 2 3 5" xfId="2426" xr:uid="{4A8AB227-5ED7-4021-9AEA-210DB2C19C9F}"/>
    <cellStyle name="Currency 5 3 2 2 3 6" xfId="1597" xr:uid="{72C45D6A-E66A-4037-836B-06A19DA04FD0}"/>
    <cellStyle name="Currency 5 3 2 2 4" xfId="3668" xr:uid="{649D7CB1-8ED5-43B8-9AAB-8805070F69E3}"/>
    <cellStyle name="Currency 5 3 2 2 4 2" xfId="5897" xr:uid="{6C8F8969-6392-4033-82D7-C9F7D0C9C96A}"/>
    <cellStyle name="Currency 5 3 2 2 4 2 2" xfId="10115" xr:uid="{240B0F60-F48D-48F2-8C62-E6DF28E3DDE2}"/>
    <cellStyle name="Currency 5 3 2 2 4 3" xfId="7970" xr:uid="{BF2C6F4E-E882-4A80-8300-5F26522265CE}"/>
    <cellStyle name="Currency 5 3 2 2 5" xfId="4081" xr:uid="{02725DCC-07CE-4192-9FE3-D7A0D2B9A2CA}"/>
    <cellStyle name="Currency 5 3 2 2 5 2" xfId="6310" xr:uid="{911654A7-6C3D-446C-BCD1-00AC3952090A}"/>
    <cellStyle name="Currency 5 3 2 2 5 2 2" xfId="10528" xr:uid="{E65029CD-E1EE-437B-BAD8-40827C1D6FAD}"/>
    <cellStyle name="Currency 5 3 2 2 5 3" xfId="8383" xr:uid="{BB24C86D-25DC-4A49-A027-30562F68CD8D}"/>
    <cellStyle name="Currency 5 3 2 2 6" xfId="4494" xr:uid="{6CFB3100-5EBD-4151-B92F-652460146508}"/>
    <cellStyle name="Currency 5 3 2 2 6 2" xfId="6723" xr:uid="{7FED1DFD-992D-4C29-984C-EFDD3C0A4F0F}"/>
    <cellStyle name="Currency 5 3 2 2 6 2 2" xfId="10941" xr:uid="{68680356-211F-4BC6-912C-C6763149D0E4}"/>
    <cellStyle name="Currency 5 3 2 2 6 3" xfId="8796" xr:uid="{173B4985-4C39-46FA-A55B-56F9E6259E41}"/>
    <cellStyle name="Currency 5 3 2 2 7" xfId="4929" xr:uid="{9D96ABB3-29EA-44C9-9BF1-D49951405A56}"/>
    <cellStyle name="Currency 5 3 2 2 7 2" xfId="9209" xr:uid="{B66AA911-121D-4922-9BA1-4CA7EDFF1941}"/>
    <cellStyle name="Currency 5 3 2 2 8" xfId="5226" xr:uid="{1378F492-6CB6-43EB-AA90-CE28A516875B}"/>
    <cellStyle name="Currency 5 3 2 2 9" xfId="5307" xr:uid="{F0115EF4-CC6A-47FD-AA68-9916CD005E7B}"/>
    <cellStyle name="Currency 5 3 2 2 9 2" xfId="9526" xr:uid="{22E9EFB7-034F-44B3-96D9-F90BD71085C8}"/>
    <cellStyle name="Currency 5 3 2 3" xfId="214" xr:uid="{00000000-0005-0000-0000-00007C010000}"/>
    <cellStyle name="Currency 5 3 2 3 10" xfId="2841" xr:uid="{D62F904D-5D8C-4EA5-A166-DD34D6C5FF08}"/>
    <cellStyle name="Currency 5 3 2 3 11" xfId="2012" xr:uid="{0AFE1AC0-841A-4359-9551-5177E6471D0D}"/>
    <cellStyle name="Currency 5 3 2 3 12" xfId="1183" xr:uid="{AEFDD642-E090-4D89-8D70-AB5E8F0A12D5}"/>
    <cellStyle name="Currency 5 3 2 3 2" xfId="746" xr:uid="{00000000-0005-0000-0000-00007D010000}"/>
    <cellStyle name="Currency 5 3 2 3 2 2" xfId="5486" xr:uid="{E1C25C25-A3F5-486F-8B81-719B779C5CC7}"/>
    <cellStyle name="Currency 5 3 2 3 2 2 2" xfId="9704" xr:uid="{CDC677DD-518A-4F73-A973-1BE87F8C9E92}"/>
    <cellStyle name="Currency 5 3 2 3 2 3" xfId="7559" xr:uid="{65BFE6E3-F25D-4ACE-B347-839844122D66}"/>
    <cellStyle name="Currency 5 3 2 3 2 4" xfId="3256" xr:uid="{0DEBB32A-2467-42B3-8EB7-B1068D05DB3C}"/>
    <cellStyle name="Currency 5 3 2 3 2 5" xfId="2428" xr:uid="{BDCE7F7B-D3D8-49DD-AA51-7B272583D286}"/>
    <cellStyle name="Currency 5 3 2 3 2 6" xfId="1599" xr:uid="{A473A6B0-2A8D-437F-A50E-4F6E33032F9E}"/>
    <cellStyle name="Currency 5 3 2 3 3" xfId="3670" xr:uid="{F0A3DA3E-E146-4365-AE5A-66E7D729ACEF}"/>
    <cellStyle name="Currency 5 3 2 3 3 2" xfId="5899" xr:uid="{453A7887-3EE4-45A7-B490-A2DAC0EE805D}"/>
    <cellStyle name="Currency 5 3 2 3 3 2 2" xfId="10117" xr:uid="{37AC90A0-4434-405C-B56D-F7AAB20CB468}"/>
    <cellStyle name="Currency 5 3 2 3 3 3" xfId="7972" xr:uid="{21B23ACC-3A51-4383-9227-750ECDD5B9B1}"/>
    <cellStyle name="Currency 5 3 2 3 4" xfId="4083" xr:uid="{E8810A0A-6E65-43A4-B991-02061EB7823C}"/>
    <cellStyle name="Currency 5 3 2 3 4 2" xfId="6312" xr:uid="{9CEC623A-1132-48AB-AE09-F25373824B47}"/>
    <cellStyle name="Currency 5 3 2 3 4 2 2" xfId="10530" xr:uid="{2E19C428-FCCE-4873-8084-B9C1C2EC785C}"/>
    <cellStyle name="Currency 5 3 2 3 4 3" xfId="8385" xr:uid="{1504131E-5138-4E19-B98F-30BDE18A3216}"/>
    <cellStyle name="Currency 5 3 2 3 5" xfId="4496" xr:uid="{339AC26D-4A9F-48EA-A958-F614659EB4F7}"/>
    <cellStyle name="Currency 5 3 2 3 5 2" xfId="6725" xr:uid="{C35F86F6-B15F-465A-AD3B-E9A9D703A223}"/>
    <cellStyle name="Currency 5 3 2 3 5 2 2" xfId="10943" xr:uid="{7DE4D257-C0B7-4687-A584-6B62C6557B87}"/>
    <cellStyle name="Currency 5 3 2 3 5 3" xfId="8798" xr:uid="{2959BCA8-9C61-4FFB-AC6E-0258127DA192}"/>
    <cellStyle name="Currency 5 3 2 3 6" xfId="4931" xr:uid="{D4F6F70B-997A-4B2F-AD35-9FAFC30B13CE}"/>
    <cellStyle name="Currency 5 3 2 3 6 2" xfId="9211" xr:uid="{5337B1D3-395D-4A5A-B87A-F1D37564FF31}"/>
    <cellStyle name="Currency 5 3 2 3 7" xfId="5228" xr:uid="{B62CF114-2F24-4986-AE62-C781D07FA0FB}"/>
    <cellStyle name="Currency 5 3 2 3 8" xfId="5309" xr:uid="{6D757881-5412-4D57-B659-150CCEEEC579}"/>
    <cellStyle name="Currency 5 3 2 3 8 2" xfId="9528" xr:uid="{F60830DD-F660-4C61-AB6D-E9610BC9B2B0}"/>
    <cellStyle name="Currency 5 3 2 3 9" xfId="7145" xr:uid="{74595DF9-E894-41E4-A4E9-D634E892920B}"/>
    <cellStyle name="Currency 5 3 2 4" xfId="743" xr:uid="{00000000-0005-0000-0000-00007E010000}"/>
    <cellStyle name="Currency 5 3 2 4 2" xfId="5483" xr:uid="{A4529166-F893-4C6C-B23B-B2C2C4C31FC8}"/>
    <cellStyle name="Currency 5 3 2 4 2 2" xfId="9701" xr:uid="{725F3FE3-B502-4F94-969E-1A17F4E7827D}"/>
    <cellStyle name="Currency 5 3 2 4 3" xfId="7556" xr:uid="{918F49A7-9156-42B1-96DC-0C760E5896C3}"/>
    <cellStyle name="Currency 5 3 2 4 4" xfId="3253" xr:uid="{A00AE8B9-2791-4C77-BDC3-8F339FAF1278}"/>
    <cellStyle name="Currency 5 3 2 4 5" xfId="2425" xr:uid="{7F4B5846-6CCF-451B-AF29-334C9A3EBBE7}"/>
    <cellStyle name="Currency 5 3 2 4 6" xfId="1596" xr:uid="{32E7966D-D4E9-4219-A68C-0A214ABD6964}"/>
    <cellStyle name="Currency 5 3 2 5" xfId="3667" xr:uid="{A1D24CFD-CB87-481E-9E17-13F55D98FCD6}"/>
    <cellStyle name="Currency 5 3 2 5 2" xfId="5896" xr:uid="{A34E2D62-69CA-4EFC-B1A5-C0B861EE262A}"/>
    <cellStyle name="Currency 5 3 2 5 2 2" xfId="10114" xr:uid="{DEB344E6-8C2A-4AFF-B705-6AADB1FFC38F}"/>
    <cellStyle name="Currency 5 3 2 5 3" xfId="7969" xr:uid="{58E77EA9-FB3E-46DF-9E38-BE93BCE2653F}"/>
    <cellStyle name="Currency 5 3 2 6" xfId="4080" xr:uid="{7A28D60B-16E2-4DB8-BB42-EB9CB4D1387E}"/>
    <cellStyle name="Currency 5 3 2 6 2" xfId="6309" xr:uid="{ABE3ACD7-6232-41A5-AA9E-629B53F16E31}"/>
    <cellStyle name="Currency 5 3 2 6 2 2" xfId="10527" xr:uid="{079B8993-DC32-4842-A922-7BCE21AEDCD0}"/>
    <cellStyle name="Currency 5 3 2 6 3" xfId="8382" xr:uid="{0FFD35DE-F761-4213-8B80-AC061DE9C226}"/>
    <cellStyle name="Currency 5 3 2 7" xfId="4493" xr:uid="{9ACFD3A6-C89C-4034-AB03-8E9C859165C7}"/>
    <cellStyle name="Currency 5 3 2 7 2" xfId="6722" xr:uid="{EA41E532-958A-47A7-B7ED-7EDC86435893}"/>
    <cellStyle name="Currency 5 3 2 7 2 2" xfId="10940" xr:uid="{4AA1AD97-6A60-4FFF-A7B5-98FF742F266B}"/>
    <cellStyle name="Currency 5 3 2 7 3" xfId="8795" xr:uid="{099C495C-9317-4927-80EC-7C1824AB13A5}"/>
    <cellStyle name="Currency 5 3 2 8" xfId="4928" xr:uid="{414E81EB-F6EF-4E7C-A286-9E5319099D41}"/>
    <cellStyle name="Currency 5 3 2 8 2" xfId="9208" xr:uid="{7269466F-77AD-46D5-9040-594500C32519}"/>
    <cellStyle name="Currency 5 3 2 9" xfId="5225" xr:uid="{2FF4EE85-D7EB-4E08-AEA4-7A9F8A1770E8}"/>
    <cellStyle name="Currency 5 3 3" xfId="215" xr:uid="{00000000-0005-0000-0000-00007F010000}"/>
    <cellStyle name="Currency 5 3 3 10" xfId="7146" xr:uid="{0A580E43-D14E-46BC-82A7-D0179DEC6BD2}"/>
    <cellStyle name="Currency 5 3 3 11" xfId="2842" xr:uid="{60677DA2-517C-4875-BE20-C4D3B6A46926}"/>
    <cellStyle name="Currency 5 3 3 12" xfId="2013" xr:uid="{4F9619AB-7218-4D91-8971-21A6CE8D7BF8}"/>
    <cellStyle name="Currency 5 3 3 13" xfId="1184" xr:uid="{7AEE167F-A492-40BD-BAAF-1E52DCA16409}"/>
    <cellStyle name="Currency 5 3 3 2" xfId="216" xr:uid="{00000000-0005-0000-0000-000080010000}"/>
    <cellStyle name="Currency 5 3 3 2 10" xfId="2843" xr:uid="{31FA9D0F-1117-4236-A9DD-3AC27E2F10CB}"/>
    <cellStyle name="Currency 5 3 3 2 11" xfId="2014" xr:uid="{C28AAD9F-BDF1-48EA-81B5-E9F723BAB11B}"/>
    <cellStyle name="Currency 5 3 3 2 12" xfId="1185" xr:uid="{6BCC4F2D-81D2-41EC-9732-89F702E617C1}"/>
    <cellStyle name="Currency 5 3 3 2 2" xfId="748" xr:uid="{00000000-0005-0000-0000-000081010000}"/>
    <cellStyle name="Currency 5 3 3 2 2 2" xfId="5488" xr:uid="{3A7F013D-488E-4175-ABFC-A59DCD25E011}"/>
    <cellStyle name="Currency 5 3 3 2 2 2 2" xfId="9706" xr:uid="{24438864-4DF3-4030-828F-68F0A67F203C}"/>
    <cellStyle name="Currency 5 3 3 2 2 3" xfId="7561" xr:uid="{D54C8B59-3E44-4F49-9DE9-903ABBA29D31}"/>
    <cellStyle name="Currency 5 3 3 2 2 4" xfId="3258" xr:uid="{F486822F-FB7A-4C5A-ADF3-B739BB1EFBCD}"/>
    <cellStyle name="Currency 5 3 3 2 2 5" xfId="2430" xr:uid="{BDEF20C2-4C70-43D3-B32D-AB76EC697B8C}"/>
    <cellStyle name="Currency 5 3 3 2 2 6" xfId="1601" xr:uid="{87FD2238-3877-4B2D-BF3A-C2481F0B95D8}"/>
    <cellStyle name="Currency 5 3 3 2 3" xfId="3672" xr:uid="{FC25CD11-15B1-47F9-9B30-14A6128F2D57}"/>
    <cellStyle name="Currency 5 3 3 2 3 2" xfId="5901" xr:uid="{BED25649-8ED1-4D4B-A89D-9741A8074DDD}"/>
    <cellStyle name="Currency 5 3 3 2 3 2 2" xfId="10119" xr:uid="{D7133E5C-4B0A-4404-ADA7-80435C2E401A}"/>
    <cellStyle name="Currency 5 3 3 2 3 3" xfId="7974" xr:uid="{76401B85-FA7D-4180-9CF2-AEAC34047A91}"/>
    <cellStyle name="Currency 5 3 3 2 4" xfId="4085" xr:uid="{85E4022D-724F-4A70-B120-A2CA35E4DE9D}"/>
    <cellStyle name="Currency 5 3 3 2 4 2" xfId="6314" xr:uid="{0DE7FCA4-A276-4019-AE27-D5BE516A58FC}"/>
    <cellStyle name="Currency 5 3 3 2 4 2 2" xfId="10532" xr:uid="{0543DD88-5F1E-45AA-8424-16683A24E917}"/>
    <cellStyle name="Currency 5 3 3 2 4 3" xfId="8387" xr:uid="{9C97EC38-1D33-48EF-A066-DDE4F6328C3C}"/>
    <cellStyle name="Currency 5 3 3 2 5" xfId="4498" xr:uid="{03D64D0F-972C-4582-9884-C22C558CB8E4}"/>
    <cellStyle name="Currency 5 3 3 2 5 2" xfId="6727" xr:uid="{949EBF43-4F57-45E5-AAF5-40CE1FF5CF5C}"/>
    <cellStyle name="Currency 5 3 3 2 5 2 2" xfId="10945" xr:uid="{4F022EA1-4979-46FC-8F64-937DFA82E671}"/>
    <cellStyle name="Currency 5 3 3 2 5 3" xfId="8800" xr:uid="{CB106B9F-57BE-436C-BEB5-2C5247D294FC}"/>
    <cellStyle name="Currency 5 3 3 2 6" xfId="4933" xr:uid="{6CC1A710-6C29-45E0-B199-132D43C68BBA}"/>
    <cellStyle name="Currency 5 3 3 2 6 2" xfId="9213" xr:uid="{3E18F113-E7C5-4BEE-A3EF-AB51CF7B43D4}"/>
    <cellStyle name="Currency 5 3 3 2 7" xfId="5230" xr:uid="{FDF058BE-04D3-49C5-9FAA-83C87B0A481F}"/>
    <cellStyle name="Currency 5 3 3 2 8" xfId="5311" xr:uid="{BA51A2D8-F62F-4250-9C20-6343CE45B47F}"/>
    <cellStyle name="Currency 5 3 3 2 8 2" xfId="9530" xr:uid="{DD2393E3-8418-4F14-9B31-D6F999DD9EE2}"/>
    <cellStyle name="Currency 5 3 3 2 9" xfId="7147" xr:uid="{2E5D87B9-91CF-4C02-BC29-808EC2646746}"/>
    <cellStyle name="Currency 5 3 3 3" xfId="747" xr:uid="{00000000-0005-0000-0000-000082010000}"/>
    <cellStyle name="Currency 5 3 3 3 2" xfId="5487" xr:uid="{3FD1BD40-4EFE-4935-887C-AB8E71111EF8}"/>
    <cellStyle name="Currency 5 3 3 3 2 2" xfId="9705" xr:uid="{7F990C97-9184-40EC-AD26-B661898496C2}"/>
    <cellStyle name="Currency 5 3 3 3 3" xfId="7560" xr:uid="{9089FC19-D2D6-470D-81E4-35DF471820D6}"/>
    <cellStyle name="Currency 5 3 3 3 4" xfId="3257" xr:uid="{353C92E2-2DD9-4B44-9C5C-EF8B2F5C03C6}"/>
    <cellStyle name="Currency 5 3 3 3 5" xfId="2429" xr:uid="{8CF8E314-0776-43DB-B48C-6EAADADFDF85}"/>
    <cellStyle name="Currency 5 3 3 3 6" xfId="1600" xr:uid="{BB364547-2445-42D6-958B-46FF2896D7CE}"/>
    <cellStyle name="Currency 5 3 3 4" xfId="3671" xr:uid="{072F47F2-1E9F-4D06-8ED9-91852DFFEA42}"/>
    <cellStyle name="Currency 5 3 3 4 2" xfId="5900" xr:uid="{D903CA78-E444-4940-AF48-18850B2349B0}"/>
    <cellStyle name="Currency 5 3 3 4 2 2" xfId="10118" xr:uid="{30566B50-E4ED-4B78-903C-832C6D5ACD39}"/>
    <cellStyle name="Currency 5 3 3 4 3" xfId="7973" xr:uid="{20D9EF3D-B553-4F40-8E26-2A64B8FE0FDE}"/>
    <cellStyle name="Currency 5 3 3 5" xfId="4084" xr:uid="{BFE7626D-0471-48D8-8101-B956DBB3E87B}"/>
    <cellStyle name="Currency 5 3 3 5 2" xfId="6313" xr:uid="{12E8091C-B3DB-4B21-8F1E-833114FAF0BB}"/>
    <cellStyle name="Currency 5 3 3 5 2 2" xfId="10531" xr:uid="{BD40DCCB-F1BC-4FAC-B1F6-344FCA584F41}"/>
    <cellStyle name="Currency 5 3 3 5 3" xfId="8386" xr:uid="{15B24BD9-C99B-4209-AA69-554050BF446E}"/>
    <cellStyle name="Currency 5 3 3 6" xfId="4497" xr:uid="{293C9660-C98D-4AE0-A93D-8F49300C5715}"/>
    <cellStyle name="Currency 5 3 3 6 2" xfId="6726" xr:uid="{44F77CE7-BC82-4D38-984F-AC68A2BC4ACD}"/>
    <cellStyle name="Currency 5 3 3 6 2 2" xfId="10944" xr:uid="{7C712DAD-00EA-4C5A-BFCE-884502A0F9B9}"/>
    <cellStyle name="Currency 5 3 3 6 3" xfId="8799" xr:uid="{B0D55CC4-4F94-4906-AB47-2217E3FB8AD5}"/>
    <cellStyle name="Currency 5 3 3 7" xfId="4932" xr:uid="{5CAA70E3-F65A-475F-B242-851A66B7D2FD}"/>
    <cellStyle name="Currency 5 3 3 7 2" xfId="9212" xr:uid="{D7310291-F160-4671-9946-E0C0A4DEC80D}"/>
    <cellStyle name="Currency 5 3 3 8" xfId="5229" xr:uid="{C083CEBD-8831-4634-BBCC-0E24F0866EA2}"/>
    <cellStyle name="Currency 5 3 3 9" xfId="5310" xr:uid="{C3AC37B6-35E3-47B3-A957-575187DD04A2}"/>
    <cellStyle name="Currency 5 3 3 9 2" xfId="9529" xr:uid="{13EA1D06-5A39-45F4-B175-F8CBCF8ED38D}"/>
    <cellStyle name="Currency 5 3 4" xfId="217" xr:uid="{00000000-0005-0000-0000-000083010000}"/>
    <cellStyle name="Currency 5 3 4 10" xfId="2844" xr:uid="{C71D9E75-DF87-420A-8C39-B92F762C5FDB}"/>
    <cellStyle name="Currency 5 3 4 11" xfId="2015" xr:uid="{0FB8E286-01B9-48D2-BCFA-FA6DE103FD00}"/>
    <cellStyle name="Currency 5 3 4 12" xfId="1186" xr:uid="{9CCEE8DB-02F8-485B-8F1E-F4D6408CA779}"/>
    <cellStyle name="Currency 5 3 4 2" xfId="749" xr:uid="{00000000-0005-0000-0000-000084010000}"/>
    <cellStyle name="Currency 5 3 4 2 2" xfId="5489" xr:uid="{828FCAF6-32A2-4015-86AA-7143294CFCA5}"/>
    <cellStyle name="Currency 5 3 4 2 2 2" xfId="9707" xr:uid="{02CAB9B5-C050-40D9-97DC-16D401B838B5}"/>
    <cellStyle name="Currency 5 3 4 2 3" xfId="7562" xr:uid="{8A8FF30D-9420-4E2A-B697-CB6DC3BD7B50}"/>
    <cellStyle name="Currency 5 3 4 2 4" xfId="3259" xr:uid="{453A244B-5EA1-44D6-8435-263C9F011B39}"/>
    <cellStyle name="Currency 5 3 4 2 5" xfId="2431" xr:uid="{AFF991D9-8FED-4B01-B4D2-48C6030CCA75}"/>
    <cellStyle name="Currency 5 3 4 2 6" xfId="1602" xr:uid="{BBBC808E-46F6-4E9E-A977-994B806B3CFA}"/>
    <cellStyle name="Currency 5 3 4 3" xfId="3673" xr:uid="{1417A08D-550C-4DD1-8225-BAFF04EAACE3}"/>
    <cellStyle name="Currency 5 3 4 3 2" xfId="5902" xr:uid="{ABA71C1C-57D4-44FE-8E21-09146A7E2FC6}"/>
    <cellStyle name="Currency 5 3 4 3 2 2" xfId="10120" xr:uid="{DCD8813C-FF0F-4675-B260-AFFB44358A02}"/>
    <cellStyle name="Currency 5 3 4 3 3" xfId="7975" xr:uid="{F2DE2026-A873-48A9-88E1-411E700CCFA7}"/>
    <cellStyle name="Currency 5 3 4 4" xfId="4086" xr:uid="{C4589C04-4250-4EAE-8F59-ED921E7B8D9F}"/>
    <cellStyle name="Currency 5 3 4 4 2" xfId="6315" xr:uid="{A13980BE-517C-4770-A63F-BB20CA25C5C1}"/>
    <cellStyle name="Currency 5 3 4 4 2 2" xfId="10533" xr:uid="{C81D33AA-D24F-4329-BF99-EC17B3C8EADD}"/>
    <cellStyle name="Currency 5 3 4 4 3" xfId="8388" xr:uid="{1A960167-3FED-445C-9FA6-6AD6AEC0C45C}"/>
    <cellStyle name="Currency 5 3 4 5" xfId="4499" xr:uid="{73374ECD-7526-4033-A73D-9D3E6C42944D}"/>
    <cellStyle name="Currency 5 3 4 5 2" xfId="6728" xr:uid="{C291B5D8-6E45-48CF-BE43-4ACACA50FAF2}"/>
    <cellStyle name="Currency 5 3 4 5 2 2" xfId="10946" xr:uid="{D77F28D9-34E9-4794-BFE1-2B30BAC4D73E}"/>
    <cellStyle name="Currency 5 3 4 5 3" xfId="8801" xr:uid="{CB5AA5CB-51FA-4F1A-9DF4-1E0ECE7395D0}"/>
    <cellStyle name="Currency 5 3 4 6" xfId="4934" xr:uid="{E585C09D-0073-42F1-8467-24DF582BD489}"/>
    <cellStyle name="Currency 5 3 4 6 2" xfId="9214" xr:uid="{CC3B7180-E9A2-40CA-8440-68BA616A9D01}"/>
    <cellStyle name="Currency 5 3 4 7" xfId="5231" xr:uid="{5F5875EE-998C-473E-A058-84794B2F84CC}"/>
    <cellStyle name="Currency 5 3 4 8" xfId="5312" xr:uid="{69181FDB-AD7B-43BC-A342-0C2B33229B3F}"/>
    <cellStyle name="Currency 5 3 4 8 2" xfId="9531" xr:uid="{1C85E80A-22A4-419E-ADBA-D45D290DD305}"/>
    <cellStyle name="Currency 5 3 4 9" xfId="7148" xr:uid="{106EE587-B2BF-47DB-9792-4E4423CE5B5A}"/>
    <cellStyle name="Currency 5 3 5" xfId="218" xr:uid="{00000000-0005-0000-0000-000085010000}"/>
    <cellStyle name="Currency 5 3 5 10" xfId="2845" xr:uid="{315018DD-A19E-4949-8AD2-8744E7C0C74A}"/>
    <cellStyle name="Currency 5 3 5 11" xfId="2016" xr:uid="{64AB8BCE-7572-4B17-9921-A6356228A383}"/>
    <cellStyle name="Currency 5 3 5 12" xfId="1187" xr:uid="{72E23C0D-A0CE-40FA-BE38-6B4DBD4B1D8E}"/>
    <cellStyle name="Currency 5 3 5 2" xfId="750" xr:uid="{00000000-0005-0000-0000-000086010000}"/>
    <cellStyle name="Currency 5 3 5 2 2" xfId="5490" xr:uid="{A7256FA6-CA2D-4685-9B60-5E1A1FB70C99}"/>
    <cellStyle name="Currency 5 3 5 2 2 2" xfId="9708" xr:uid="{0DD1765E-D161-42FC-AF3F-4CC46B064BDE}"/>
    <cellStyle name="Currency 5 3 5 2 3" xfId="7563" xr:uid="{8ABBDC05-C505-42E9-B16D-B28F12F6F98C}"/>
    <cellStyle name="Currency 5 3 5 2 4" xfId="3260" xr:uid="{887EDC01-8174-4919-8B46-6557A298F5B1}"/>
    <cellStyle name="Currency 5 3 5 2 5" xfId="2432" xr:uid="{4BB06751-9028-46CF-A68E-F035B4EF71BE}"/>
    <cellStyle name="Currency 5 3 5 2 6" xfId="1603" xr:uid="{41A8DF9D-FB4E-44E5-BCC0-BAFBFF5DA9FA}"/>
    <cellStyle name="Currency 5 3 5 3" xfId="3674" xr:uid="{D63226DA-C5FF-44A1-8AD3-320FD3CED87D}"/>
    <cellStyle name="Currency 5 3 5 3 2" xfId="5903" xr:uid="{BEE92DF3-F6DD-4C42-A5AA-CDDC59F89081}"/>
    <cellStyle name="Currency 5 3 5 3 2 2" xfId="10121" xr:uid="{D544B7CB-BF08-4B27-BE53-ED0D51902C2C}"/>
    <cellStyle name="Currency 5 3 5 3 3" xfId="7976" xr:uid="{EF861CA7-A242-47CC-95E8-CF1609F74A92}"/>
    <cellStyle name="Currency 5 3 5 4" xfId="4087" xr:uid="{3AED7DD4-BFE0-4638-A7CE-DD3692FDCF9D}"/>
    <cellStyle name="Currency 5 3 5 4 2" xfId="6316" xr:uid="{488F5758-154A-4895-B6A3-FCABEF3DA4F2}"/>
    <cellStyle name="Currency 5 3 5 4 2 2" xfId="10534" xr:uid="{F61DB9B9-BB4B-4220-8A58-33884A680536}"/>
    <cellStyle name="Currency 5 3 5 4 3" xfId="8389" xr:uid="{14B1EDA1-F216-419C-B844-47DCC8236391}"/>
    <cellStyle name="Currency 5 3 5 5" xfId="4500" xr:uid="{4E25E5FE-9E8C-4D25-BAF6-8BE943F9657C}"/>
    <cellStyle name="Currency 5 3 5 5 2" xfId="6729" xr:uid="{E0FFFEF8-479E-465F-8236-07B880879313}"/>
    <cellStyle name="Currency 5 3 5 5 2 2" xfId="10947" xr:uid="{7D2F4F10-1E6A-4C9C-BDB1-B719DE46D098}"/>
    <cellStyle name="Currency 5 3 5 5 3" xfId="8802" xr:uid="{14902929-C94A-4415-92F8-FF5A7665503B}"/>
    <cellStyle name="Currency 5 3 5 6" xfId="4935" xr:uid="{5DA36A2B-849C-49E5-8CF4-BCFAC2EB91C7}"/>
    <cellStyle name="Currency 5 3 5 6 2" xfId="9215" xr:uid="{FA633D2B-F52A-4B5F-B5E3-B8DED49F0C14}"/>
    <cellStyle name="Currency 5 3 5 7" xfId="5232" xr:uid="{0154EBE8-2E9C-425D-949E-6F0AA81B9C77}"/>
    <cellStyle name="Currency 5 3 5 8" xfId="5313" xr:uid="{55C0830F-1164-4F08-8CE1-99944B744CE8}"/>
    <cellStyle name="Currency 5 3 5 8 2" xfId="9532" xr:uid="{3E7962C3-0C78-4833-9F0C-8B738F509BE9}"/>
    <cellStyle name="Currency 5 3 5 9" xfId="7149" xr:uid="{8A0F4B21-208C-427F-9B02-7154BBCC4B13}"/>
    <cellStyle name="Currency 5 4" xfId="219" xr:uid="{00000000-0005-0000-0000-000087010000}"/>
    <cellStyle name="Currency 5 4 2" xfId="751" xr:uid="{00000000-0005-0000-0000-000088010000}"/>
    <cellStyle name="Currency 5 5" xfId="220" xr:uid="{00000000-0005-0000-0000-000089010000}"/>
    <cellStyle name="Currency 5 5 10" xfId="7150" xr:uid="{F6DCE7CA-D98E-4091-ABA8-94FC0FF67B94}"/>
    <cellStyle name="Currency 5 5 11" xfId="2846" xr:uid="{8FD920CF-F42B-4FA3-AA5E-33305D401F9E}"/>
    <cellStyle name="Currency 5 5 12" xfId="2017" xr:uid="{08D0B627-C816-4509-AC76-B8D839F778FB}"/>
    <cellStyle name="Currency 5 5 13" xfId="1188" xr:uid="{A9873282-BC46-4A36-A9E5-C63A3F4B366A}"/>
    <cellStyle name="Currency 5 5 2" xfId="221" xr:uid="{00000000-0005-0000-0000-00008A010000}"/>
    <cellStyle name="Currency 5 5 2 10" xfId="2847" xr:uid="{66787D28-750C-4931-8732-60E33148D590}"/>
    <cellStyle name="Currency 5 5 2 11" xfId="2018" xr:uid="{5B16AF84-33D8-4F30-9632-DE5C076EDE87}"/>
    <cellStyle name="Currency 5 5 2 12" xfId="1189" xr:uid="{667CF882-DA64-46C2-A075-2AC63D4BE0BB}"/>
    <cellStyle name="Currency 5 5 2 2" xfId="753" xr:uid="{00000000-0005-0000-0000-00008B010000}"/>
    <cellStyle name="Currency 5 5 2 2 2" xfId="5492" xr:uid="{61527275-4DD4-42B0-8462-0973DC3D712B}"/>
    <cellStyle name="Currency 5 5 2 2 2 2" xfId="9710" xr:uid="{3377D2EB-2037-4617-9BC3-90F79B281215}"/>
    <cellStyle name="Currency 5 5 2 2 3" xfId="7565" xr:uid="{08E6A9D1-8D29-417C-8C4C-DA3AEFDCE14A}"/>
    <cellStyle name="Currency 5 5 2 2 4" xfId="3262" xr:uid="{6B9D7A04-4DBA-4C22-96FE-42CC086201D0}"/>
    <cellStyle name="Currency 5 5 2 2 5" xfId="2434" xr:uid="{9A066A5B-3939-4FE8-B77A-45CD9F867A9A}"/>
    <cellStyle name="Currency 5 5 2 2 6" xfId="1605" xr:uid="{C510C436-92DB-4734-B99F-D22B95224B16}"/>
    <cellStyle name="Currency 5 5 2 3" xfId="3676" xr:uid="{2F2C40AB-59B4-407C-A5C4-FE35D97A3BF6}"/>
    <cellStyle name="Currency 5 5 2 3 2" xfId="5905" xr:uid="{1BF70AED-E128-4221-8D71-02D56F78DEDD}"/>
    <cellStyle name="Currency 5 5 2 3 2 2" xfId="10123" xr:uid="{104E818F-A430-445C-8763-C004EA750D4A}"/>
    <cellStyle name="Currency 5 5 2 3 3" xfId="7978" xr:uid="{615AB5F4-3EEF-48F5-858B-5884856E60B5}"/>
    <cellStyle name="Currency 5 5 2 4" xfId="4089" xr:uid="{A975641C-333E-4CC1-90CE-8635BB31A4DE}"/>
    <cellStyle name="Currency 5 5 2 4 2" xfId="6318" xr:uid="{33A282DC-DB14-4E7D-B10A-7D5E9288E4B7}"/>
    <cellStyle name="Currency 5 5 2 4 2 2" xfId="10536" xr:uid="{030CDCA7-9EFB-4C39-ABE9-26AC4A3C98D5}"/>
    <cellStyle name="Currency 5 5 2 4 3" xfId="8391" xr:uid="{D172EE7B-7DAC-47E1-9490-F6E3EBE5C4C0}"/>
    <cellStyle name="Currency 5 5 2 5" xfId="4502" xr:uid="{AEEEC84F-AD03-4B87-ADAF-745DFE1E01FB}"/>
    <cellStyle name="Currency 5 5 2 5 2" xfId="6731" xr:uid="{FB6057E4-FF20-4DDE-B277-FE70F6405104}"/>
    <cellStyle name="Currency 5 5 2 5 2 2" xfId="10949" xr:uid="{ADBF76D6-2FCC-4714-B90A-A37EC84FF2D4}"/>
    <cellStyle name="Currency 5 5 2 5 3" xfId="8804" xr:uid="{14B8EBB0-63DB-445B-AA4C-95D68D14BB5B}"/>
    <cellStyle name="Currency 5 5 2 6" xfId="4937" xr:uid="{8CA5D0F3-7F91-4079-9304-93CDD0FA68A1}"/>
    <cellStyle name="Currency 5 5 2 6 2" xfId="9217" xr:uid="{B14D4BE6-2B53-43DB-8759-3C19D3BD2854}"/>
    <cellStyle name="Currency 5 5 2 7" xfId="5234" xr:uid="{AE0F5E40-D298-4741-9FE2-B05138FA691E}"/>
    <cellStyle name="Currency 5 5 2 8" xfId="5315" xr:uid="{C88D5472-486F-4755-AD7E-346520C2781E}"/>
    <cellStyle name="Currency 5 5 2 8 2" xfId="9534" xr:uid="{4AA1D257-5B1E-4517-BAFC-2A4A5425B478}"/>
    <cellStyle name="Currency 5 5 2 9" xfId="7151" xr:uid="{741EA4FD-1561-4EBA-8608-44E080741771}"/>
    <cellStyle name="Currency 5 5 3" xfId="752" xr:uid="{00000000-0005-0000-0000-00008C010000}"/>
    <cellStyle name="Currency 5 5 3 2" xfId="5491" xr:uid="{94EFDB1E-A828-416D-B9AC-9CC976893243}"/>
    <cellStyle name="Currency 5 5 3 2 2" xfId="9709" xr:uid="{B3809805-A9E3-43AF-922D-870F95F66F2A}"/>
    <cellStyle name="Currency 5 5 3 3" xfId="7564" xr:uid="{B775D305-8F37-4F72-AD73-2F3259478DBC}"/>
    <cellStyle name="Currency 5 5 3 4" xfId="3261" xr:uid="{C6AC1ED9-193B-4E0D-95A6-C7943137D5E6}"/>
    <cellStyle name="Currency 5 5 3 5" xfId="2433" xr:uid="{E82C7ADE-ED12-4A88-AA4D-AB82BA3E1BE5}"/>
    <cellStyle name="Currency 5 5 3 6" xfId="1604" xr:uid="{34A529F3-5D1C-49AB-ACD4-38D0DECE02B8}"/>
    <cellStyle name="Currency 5 5 4" xfId="3675" xr:uid="{BB65DF88-8162-44DB-A890-7F39BF581FF8}"/>
    <cellStyle name="Currency 5 5 4 2" xfId="5904" xr:uid="{5331142B-C6B2-46B7-A1DA-8C1418C8591C}"/>
    <cellStyle name="Currency 5 5 4 2 2" xfId="10122" xr:uid="{8F430747-7D74-4C1D-9226-26FDC5067AAB}"/>
    <cellStyle name="Currency 5 5 4 3" xfId="7977" xr:uid="{F366543B-E9D0-4862-A2E0-F847FD70B7EB}"/>
    <cellStyle name="Currency 5 5 5" xfId="4088" xr:uid="{6C0F7BF7-7802-4ACD-AB40-2CAD7C0C2F4E}"/>
    <cellStyle name="Currency 5 5 5 2" xfId="6317" xr:uid="{2A816AC3-8181-4947-992B-3B9017D2346A}"/>
    <cellStyle name="Currency 5 5 5 2 2" xfId="10535" xr:uid="{65BD8826-0C0C-40F7-A391-E2D31281B403}"/>
    <cellStyle name="Currency 5 5 5 3" xfId="8390" xr:uid="{0D8C8795-504F-4505-8DB3-704FA53F9955}"/>
    <cellStyle name="Currency 5 5 6" xfId="4501" xr:uid="{FF6B3765-7042-4B32-9B83-EA6541780269}"/>
    <cellStyle name="Currency 5 5 6 2" xfId="6730" xr:uid="{56070302-69EB-483C-8D76-00B5C0124BBC}"/>
    <cellStyle name="Currency 5 5 6 2 2" xfId="10948" xr:uid="{9D1BC1F7-7737-494B-8646-8E952BEAF929}"/>
    <cellStyle name="Currency 5 5 6 3" xfId="8803" xr:uid="{234DCF44-55CA-4A7D-8F7E-A0A5E2CB72AA}"/>
    <cellStyle name="Currency 5 5 7" xfId="4936" xr:uid="{8D77EEC3-0647-4A4C-8AE2-DFEFC8FFBB57}"/>
    <cellStyle name="Currency 5 5 7 2" xfId="9216" xr:uid="{3BF88E79-6683-4A09-AEEE-CD37AF40F60C}"/>
    <cellStyle name="Currency 5 5 8" xfId="5233" xr:uid="{3E88E09D-6CC9-4EC4-AD57-6A9B861DEA4E}"/>
    <cellStyle name="Currency 5 5 9" xfId="5314" xr:uid="{AAD36541-D974-48FC-9DA6-719400CFBDDE}"/>
    <cellStyle name="Currency 5 5 9 2" xfId="9533" xr:uid="{2DF73A78-6967-4B27-B101-34EBEE074190}"/>
    <cellStyle name="Currency 5 6" xfId="222" xr:uid="{00000000-0005-0000-0000-00008D010000}"/>
    <cellStyle name="Currency 5 6 10" xfId="2848" xr:uid="{6F93150F-D3F5-4AEA-8A7E-2F0EB9C3FD89}"/>
    <cellStyle name="Currency 5 6 11" xfId="2019" xr:uid="{8EFEE0AA-272A-4AA7-A548-E982B7B6AD62}"/>
    <cellStyle name="Currency 5 6 12" xfId="1190" xr:uid="{E304FF68-E6E6-4073-B674-5CB0E286F01A}"/>
    <cellStyle name="Currency 5 6 2" xfId="754" xr:uid="{00000000-0005-0000-0000-00008E010000}"/>
    <cellStyle name="Currency 5 6 2 2" xfId="5493" xr:uid="{D3CE2976-DF0B-412F-9DBA-FBE63A5BF5FC}"/>
    <cellStyle name="Currency 5 6 2 2 2" xfId="9711" xr:uid="{B9B217B4-CDEE-4E33-89EB-BAEDC87CDD9F}"/>
    <cellStyle name="Currency 5 6 2 3" xfId="7566" xr:uid="{DC6E2F95-9A56-4E42-9BC1-90371A828AEE}"/>
    <cellStyle name="Currency 5 6 2 4" xfId="3263" xr:uid="{7001B02F-91B4-4CB2-962F-DAE6F9C9D187}"/>
    <cellStyle name="Currency 5 6 2 5" xfId="2435" xr:uid="{02EE0A67-D5AC-42B2-8CB4-9D662D408920}"/>
    <cellStyle name="Currency 5 6 2 6" xfId="1606" xr:uid="{AAC0C796-EB4D-4D76-A5E6-CFE0E863376A}"/>
    <cellStyle name="Currency 5 6 3" xfId="3677" xr:uid="{3725D602-038C-4468-859C-07412A87F37F}"/>
    <cellStyle name="Currency 5 6 3 2" xfId="5906" xr:uid="{780F7724-269D-40D1-B4BC-E5D94F514765}"/>
    <cellStyle name="Currency 5 6 3 2 2" xfId="10124" xr:uid="{CE43F2B8-F274-4750-B683-61F683C6B820}"/>
    <cellStyle name="Currency 5 6 3 3" xfId="7979" xr:uid="{5C29419B-97CB-4552-B788-AC7A9AF8B4F3}"/>
    <cellStyle name="Currency 5 6 4" xfId="4090" xr:uid="{345292A3-7A92-4669-8704-044884B360B0}"/>
    <cellStyle name="Currency 5 6 4 2" xfId="6319" xr:uid="{A8643BE7-1399-4526-BFBA-1E642A53590B}"/>
    <cellStyle name="Currency 5 6 4 2 2" xfId="10537" xr:uid="{7DA7E9F3-2A21-456F-94CE-E89224CBAE7C}"/>
    <cellStyle name="Currency 5 6 4 3" xfId="8392" xr:uid="{577B7C3E-897A-47A4-8FBF-69EA48C2103C}"/>
    <cellStyle name="Currency 5 6 5" xfId="4503" xr:uid="{3D01092D-D988-4F3F-9BD0-00761F1D18B1}"/>
    <cellStyle name="Currency 5 6 5 2" xfId="6732" xr:uid="{FCACA52A-15F7-49BF-9E88-C6761E6DA5E5}"/>
    <cellStyle name="Currency 5 6 5 2 2" xfId="10950" xr:uid="{2AF9C64D-0F90-42BF-846D-8EAFF8F0CF5F}"/>
    <cellStyle name="Currency 5 6 5 3" xfId="8805" xr:uid="{58A4EDE4-854A-4931-BD2A-5AEA087FDAE8}"/>
    <cellStyle name="Currency 5 6 6" xfId="4938" xr:uid="{F6607393-CE08-4EDA-A565-18D7FEEAB073}"/>
    <cellStyle name="Currency 5 6 6 2" xfId="9218" xr:uid="{D03AA440-C415-4EEB-951C-BF6EFBE3264E}"/>
    <cellStyle name="Currency 5 6 7" xfId="5235" xr:uid="{FC78A9EC-2DEE-4724-9820-2B445EC54138}"/>
    <cellStyle name="Currency 5 6 8" xfId="5316" xr:uid="{4B7D4BFC-55BD-42FA-95FD-2BB0A325B858}"/>
    <cellStyle name="Currency 5 6 8 2" xfId="9535" xr:uid="{19FAF23D-B198-48EC-83C9-C3386D878AB0}"/>
    <cellStyle name="Currency 5 6 9" xfId="7152" xr:uid="{3974B704-10B3-4B33-A9DA-734B00E08E8E}"/>
    <cellStyle name="Currency 5 7" xfId="223" xr:uid="{00000000-0005-0000-0000-00008F010000}"/>
    <cellStyle name="Currency 5 7 10" xfId="2849" xr:uid="{1C655173-7145-4134-8C43-CAECE2B753C1}"/>
    <cellStyle name="Currency 5 7 11" xfId="2020" xr:uid="{C12A4DD5-22C6-404C-AC02-1AC41DC66B5B}"/>
    <cellStyle name="Currency 5 7 12" xfId="1191" xr:uid="{5A169E9D-2863-4894-A43D-3D44B476FC70}"/>
    <cellStyle name="Currency 5 7 2" xfId="755" xr:uid="{00000000-0005-0000-0000-000090010000}"/>
    <cellStyle name="Currency 5 7 2 2" xfId="5494" xr:uid="{EAC0AF80-D47E-48B6-8013-E22810716978}"/>
    <cellStyle name="Currency 5 7 2 2 2" xfId="9712" xr:uid="{54572F09-E299-4AD5-AC78-723579FC3B75}"/>
    <cellStyle name="Currency 5 7 2 3" xfId="7567" xr:uid="{7E64EF25-850F-44D2-A34A-8700268D35D5}"/>
    <cellStyle name="Currency 5 7 2 4" xfId="3264" xr:uid="{C857D646-D21F-485D-A6FC-66F4776E3754}"/>
    <cellStyle name="Currency 5 7 2 5" xfId="2436" xr:uid="{FB8F8D75-732C-41B9-B744-FDA17657AB85}"/>
    <cellStyle name="Currency 5 7 2 6" xfId="1607" xr:uid="{5839D28B-AF19-4EC2-AF82-D385C26A2E68}"/>
    <cellStyle name="Currency 5 7 3" xfId="3678" xr:uid="{12563BCE-F6CA-4ACB-B153-4ADB736C265F}"/>
    <cellStyle name="Currency 5 7 3 2" xfId="5907" xr:uid="{F254863A-4DAF-4F1C-94A9-013D309DF820}"/>
    <cellStyle name="Currency 5 7 3 2 2" xfId="10125" xr:uid="{7745035E-69E0-4A26-B5FF-E2D70929A59B}"/>
    <cellStyle name="Currency 5 7 3 3" xfId="7980" xr:uid="{EE54C5D1-108F-4EE6-918B-C4079A8AB638}"/>
    <cellStyle name="Currency 5 7 4" xfId="4091" xr:uid="{C9670EED-9092-45B3-A625-0AE31EA9C6D9}"/>
    <cellStyle name="Currency 5 7 4 2" xfId="6320" xr:uid="{55844208-58AD-4383-A673-D2F60BA0F7C6}"/>
    <cellStyle name="Currency 5 7 4 2 2" xfId="10538" xr:uid="{AC88D731-16DF-4A18-BC26-555C65FE1E26}"/>
    <cellStyle name="Currency 5 7 4 3" xfId="8393" xr:uid="{4DAC0AEB-6C16-4F34-B82D-9349F9EB59E6}"/>
    <cellStyle name="Currency 5 7 5" xfId="4504" xr:uid="{7E8EBDBF-AA61-44E5-A57F-11A6E02D164E}"/>
    <cellStyle name="Currency 5 7 5 2" xfId="6733" xr:uid="{F50EADCD-75EA-44DF-AA6E-D3118E0BD869}"/>
    <cellStyle name="Currency 5 7 5 2 2" xfId="10951" xr:uid="{EF9A68EB-1C6C-4340-9A68-087A23BFF4AE}"/>
    <cellStyle name="Currency 5 7 5 3" xfId="8806" xr:uid="{F4433258-B669-4A40-8604-29BA0B5879AD}"/>
    <cellStyle name="Currency 5 7 6" xfId="4939" xr:uid="{F49A431B-934F-44B3-AB20-CD44A21D0B71}"/>
    <cellStyle name="Currency 5 7 6 2" xfId="9219" xr:uid="{1F8E8732-9289-4F50-A8B0-8AD77304A4AE}"/>
    <cellStyle name="Currency 5 7 7" xfId="5236" xr:uid="{926579FA-FBB0-4EBC-A2FF-2A0B29BCB816}"/>
    <cellStyle name="Currency 5 7 8" xfId="5317" xr:uid="{02D78830-F21D-41A2-974A-16E2C979EEDC}"/>
    <cellStyle name="Currency 5 7 8 2" xfId="9536" xr:uid="{B0CE2EE4-DB33-4C2E-94A0-B968AD5ACA67}"/>
    <cellStyle name="Currency 5 7 9" xfId="7153" xr:uid="{04466FA0-4ABA-4563-98E1-B52CAB7199F5}"/>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4941" xr:uid="{4F8226C4-37F0-4CF8-9D8F-34ED3A527A64}"/>
    <cellStyle name="Normal 12 10 2" xfId="9220" xr:uid="{8EB74F28-F1BE-4AB6-A243-32F95C154C73}"/>
    <cellStyle name="Normal 12 11" xfId="7154" xr:uid="{4CA88785-FADB-4E1B-8F50-86629C337421}"/>
    <cellStyle name="Normal 12 12" xfId="2850" xr:uid="{7CA5962D-2135-4574-9F95-7A6654A1AAC2}"/>
    <cellStyle name="Normal 12 13" xfId="2021" xr:uid="{8E5D9810-388E-47E4-8B6A-0E59917548E9}"/>
    <cellStyle name="Normal 12 14" xfId="1192" xr:uid="{15C8F6A4-CEC9-4249-BDC7-701C222A3121}"/>
    <cellStyle name="Normal 12 2" xfId="262" xr:uid="{00000000-0005-0000-0000-0000C5010000}"/>
    <cellStyle name="Normal 12 2 10" xfId="2851" xr:uid="{7D5D2256-5C11-499D-895B-D4143456D3CF}"/>
    <cellStyle name="Normal 12 2 11" xfId="2022" xr:uid="{87914EB5-1CEC-44EE-82EA-053EE01CCFAA}"/>
    <cellStyle name="Normal 12 2 12" xfId="1193" xr:uid="{A8DF0A77-3042-4C09-BCD2-7BFD0571DD50}"/>
    <cellStyle name="Normal 12 2 2" xfId="263" xr:uid="{00000000-0005-0000-0000-0000C6010000}"/>
    <cellStyle name="Normal 12 2 2 10" xfId="2023" xr:uid="{A6B6D83A-4B97-4104-AA59-799893CC8748}"/>
    <cellStyle name="Normal 12 2 2 11" xfId="1194" xr:uid="{408F3E37-D67E-415C-B53E-E3EF10C6D05E}"/>
    <cellStyle name="Normal 12 2 2 2" xfId="264" xr:uid="{00000000-0005-0000-0000-0000C7010000}"/>
    <cellStyle name="Normal 12 2 2 2 10" xfId="1195" xr:uid="{CB4E7A48-855D-44BA-AA73-E90809B1013E}"/>
    <cellStyle name="Normal 12 2 2 2 2" xfId="771" xr:uid="{00000000-0005-0000-0000-0000C8010000}"/>
    <cellStyle name="Normal 12 2 2 2 2 2" xfId="5498" xr:uid="{FF589C15-A472-4A05-937D-B6E9021127AC}"/>
    <cellStyle name="Normal 12 2 2 2 2 2 2" xfId="9716" xr:uid="{30F5096C-F28A-4F1E-934E-5A9B88E6A537}"/>
    <cellStyle name="Normal 12 2 2 2 2 3" xfId="7571" xr:uid="{DEF5E05C-A674-4EDF-828F-1F8813472A8D}"/>
    <cellStyle name="Normal 12 2 2 2 2 4" xfId="3268" xr:uid="{F315D9CD-7B70-40AD-B35D-6866A4B3628B}"/>
    <cellStyle name="Normal 12 2 2 2 2 5" xfId="2440" xr:uid="{CF783FAA-359F-42AE-84FA-2E39FAF3B915}"/>
    <cellStyle name="Normal 12 2 2 2 2 6" xfId="1611" xr:uid="{C809517C-21D9-4950-9461-3F5476B20929}"/>
    <cellStyle name="Normal 12 2 2 2 3" xfId="3682" xr:uid="{CD436151-4EAC-46F5-953F-D3C0DD69959C}"/>
    <cellStyle name="Normal 12 2 2 2 3 2" xfId="5911" xr:uid="{0A60D8B7-088A-41DF-B5C0-300681E6B1C2}"/>
    <cellStyle name="Normal 12 2 2 2 3 2 2" xfId="10129" xr:uid="{FBC16A9F-747B-43D6-A5F3-323937586C87}"/>
    <cellStyle name="Normal 12 2 2 2 3 3" xfId="7984" xr:uid="{15E025D4-FDD7-43AD-AFA1-E94C74BBB2D0}"/>
    <cellStyle name="Normal 12 2 2 2 4" xfId="4095" xr:uid="{ABDECF7B-1BBE-4D14-8FDB-E9E132CD06B5}"/>
    <cellStyle name="Normal 12 2 2 2 4 2" xfId="6324" xr:uid="{4F3AFE43-09DF-4D77-9233-50F0856CE71E}"/>
    <cellStyle name="Normal 12 2 2 2 4 2 2" xfId="10542" xr:uid="{3CF04683-BDB3-4ECD-89D7-6A48FBBCC8B8}"/>
    <cellStyle name="Normal 12 2 2 2 4 3" xfId="8397" xr:uid="{B11677E5-4A20-4749-8B95-E15FA0703445}"/>
    <cellStyle name="Normal 12 2 2 2 5" xfId="4508" xr:uid="{3BB33B05-61E1-478F-9CC4-83EA73F48B02}"/>
    <cellStyle name="Normal 12 2 2 2 5 2" xfId="6737" xr:uid="{3E25983E-A29F-4466-A94F-759BE85B912E}"/>
    <cellStyle name="Normal 12 2 2 2 5 2 2" xfId="10955" xr:uid="{42730E14-0D74-445F-AA60-58E0480DB672}"/>
    <cellStyle name="Normal 12 2 2 2 5 3" xfId="8810" xr:uid="{2456176E-2BAB-4C11-A512-22AC0DD02884}"/>
    <cellStyle name="Normal 12 2 2 2 6" xfId="4944" xr:uid="{83B467CB-F419-4155-9118-E3C52285501E}"/>
    <cellStyle name="Normal 12 2 2 2 6 2" xfId="9223" xr:uid="{7E6AA885-0555-4D76-9821-1C299EF38BDF}"/>
    <cellStyle name="Normal 12 2 2 2 7" xfId="7157" xr:uid="{004C874B-80FE-4CCE-9916-070CE5097114}"/>
    <cellStyle name="Normal 12 2 2 2 8" xfId="2853" xr:uid="{186B8083-4B38-4972-89AD-E9FC9ADCA0F9}"/>
    <cellStyle name="Normal 12 2 2 2 9" xfId="2024" xr:uid="{72418496-EEE5-419C-AA02-387357330D4C}"/>
    <cellStyle name="Normal 12 2 2 3" xfId="770" xr:uid="{00000000-0005-0000-0000-0000C9010000}"/>
    <cellStyle name="Normal 12 2 2 3 2" xfId="5497" xr:uid="{12962C0C-8663-44A5-BDD9-6C0319AF218F}"/>
    <cellStyle name="Normal 12 2 2 3 2 2" xfId="9715" xr:uid="{5098DFB9-BB2D-4698-9A43-3B6C6323B9B5}"/>
    <cellStyle name="Normal 12 2 2 3 3" xfId="7570" xr:uid="{EB7046CD-39CC-4DA7-BD08-CB6ECE75400E}"/>
    <cellStyle name="Normal 12 2 2 3 4" xfId="3267" xr:uid="{04784206-F399-4261-8FA7-557BE117F3BA}"/>
    <cellStyle name="Normal 12 2 2 3 5" xfId="2439" xr:uid="{55960089-9F90-4148-937F-E8E5863C6034}"/>
    <cellStyle name="Normal 12 2 2 3 6" xfId="1610" xr:uid="{D7F050C6-791F-4057-9D8E-FCA86BF95C4A}"/>
    <cellStyle name="Normal 12 2 2 4" xfId="3681" xr:uid="{DE19968A-6F52-40C3-A930-1C09305EC5F8}"/>
    <cellStyle name="Normal 12 2 2 4 2" xfId="5910" xr:uid="{94350FE9-5A49-4D02-BF6F-E428CE8CB58E}"/>
    <cellStyle name="Normal 12 2 2 4 2 2" xfId="10128" xr:uid="{4A52223D-8946-4183-8C09-9FD591B3B5D2}"/>
    <cellStyle name="Normal 12 2 2 4 3" xfId="7983" xr:uid="{AD9ED1B4-6707-4909-9E55-95448FC0EC19}"/>
    <cellStyle name="Normal 12 2 2 5" xfId="4094" xr:uid="{692F2166-E6AD-4FE3-91D0-C8FF160204BA}"/>
    <cellStyle name="Normal 12 2 2 5 2" xfId="6323" xr:uid="{F3365F16-B02D-4E74-8279-9368937D0DE6}"/>
    <cellStyle name="Normal 12 2 2 5 2 2" xfId="10541" xr:uid="{AA574AAD-437E-412A-A76C-05BE63771A2E}"/>
    <cellStyle name="Normal 12 2 2 5 3" xfId="8396" xr:uid="{F647AFBE-DDFD-4BC5-9442-0C1288981B77}"/>
    <cellStyle name="Normal 12 2 2 6" xfId="4507" xr:uid="{CADA5E12-FAB1-4418-BA32-1E5C5BBB1C9F}"/>
    <cellStyle name="Normal 12 2 2 6 2" xfId="6736" xr:uid="{34BB2653-0B81-4E3D-A46C-59BA0C534144}"/>
    <cellStyle name="Normal 12 2 2 6 2 2" xfId="10954" xr:uid="{4CA67E5E-5AAE-4E65-9367-9A5C47271497}"/>
    <cellStyle name="Normal 12 2 2 6 3" xfId="8809" xr:uid="{98CE371B-DC1E-408A-BA0F-38810ECFE86D}"/>
    <cellStyle name="Normal 12 2 2 7" xfId="4943" xr:uid="{C0A2FA9C-C476-4213-8EA9-76BE2E88921B}"/>
    <cellStyle name="Normal 12 2 2 7 2" xfId="9222" xr:uid="{D3F75DB3-2505-42CC-B43B-C4AB1389D2C1}"/>
    <cellStyle name="Normal 12 2 2 8" xfId="7156" xr:uid="{1BE37C0C-2DE4-431F-952F-660F96DC92C7}"/>
    <cellStyle name="Normal 12 2 2 9" xfId="2852" xr:uid="{BD457A6A-DAA5-496C-ABB5-1D9BA8414164}"/>
    <cellStyle name="Normal 12 2 3" xfId="265" xr:uid="{00000000-0005-0000-0000-0000CA010000}"/>
    <cellStyle name="Normal 12 2 3 10" xfId="1196" xr:uid="{6FD6D6DC-CC90-404E-8512-04EE34850E24}"/>
    <cellStyle name="Normal 12 2 3 2" xfId="772" xr:uid="{00000000-0005-0000-0000-0000CB010000}"/>
    <cellStyle name="Normal 12 2 3 2 2" xfId="5499" xr:uid="{B051E30C-4987-4886-96FB-4A5D5B963894}"/>
    <cellStyle name="Normal 12 2 3 2 2 2" xfId="9717" xr:uid="{88A09240-7485-4852-8749-F60E7884323F}"/>
    <cellStyle name="Normal 12 2 3 2 3" xfId="7572" xr:uid="{1A6AB1D6-1290-42F0-A79D-1A5D7DE605FD}"/>
    <cellStyle name="Normal 12 2 3 2 4" xfId="3269" xr:uid="{24796DFA-B080-4295-8495-E11F94C89991}"/>
    <cellStyle name="Normal 12 2 3 2 5" xfId="2441" xr:uid="{F7507CFC-BC19-4189-9B59-C2B33A62012B}"/>
    <cellStyle name="Normal 12 2 3 2 6" xfId="1612" xr:uid="{EF4629A9-A9CB-453C-A183-37D348F8F609}"/>
    <cellStyle name="Normal 12 2 3 3" xfId="3683" xr:uid="{CAD3DF68-24B0-47D7-840C-1B17DC8E0C12}"/>
    <cellStyle name="Normal 12 2 3 3 2" xfId="5912" xr:uid="{8456F254-E66F-4447-949E-43A10EFA3A9C}"/>
    <cellStyle name="Normal 12 2 3 3 2 2" xfId="10130" xr:uid="{FC723DCA-53D0-4F48-BB9E-2A9759CA3DE6}"/>
    <cellStyle name="Normal 12 2 3 3 3" xfId="7985" xr:uid="{C7076F9C-6083-449C-A072-B8190F1080AF}"/>
    <cellStyle name="Normal 12 2 3 4" xfId="4096" xr:uid="{196B60D2-F5E1-43D0-9494-CCEE1150DA7B}"/>
    <cellStyle name="Normal 12 2 3 4 2" xfId="6325" xr:uid="{364AFBC2-C40D-489E-9B74-9C1457136043}"/>
    <cellStyle name="Normal 12 2 3 4 2 2" xfId="10543" xr:uid="{69F82874-A38E-402C-B62B-0BFED594A702}"/>
    <cellStyle name="Normal 12 2 3 4 3" xfId="8398" xr:uid="{1348DE58-A93A-413C-AA1B-4DD2C55ACE03}"/>
    <cellStyle name="Normal 12 2 3 5" xfId="4509" xr:uid="{902905CD-E0A5-4214-8AC6-6CF95A936AF0}"/>
    <cellStyle name="Normal 12 2 3 5 2" xfId="6738" xr:uid="{8CDCFCEA-A965-483C-B35C-08EF27380160}"/>
    <cellStyle name="Normal 12 2 3 5 2 2" xfId="10956" xr:uid="{98854016-B411-42B5-9BAE-FF39821141BB}"/>
    <cellStyle name="Normal 12 2 3 5 3" xfId="8811" xr:uid="{FF5F2EF7-856C-4BC8-AD0C-EDEB52CAFAB5}"/>
    <cellStyle name="Normal 12 2 3 6" xfId="4945" xr:uid="{E79DF346-A1C5-4A75-ABA4-87D28182989C}"/>
    <cellStyle name="Normal 12 2 3 6 2" xfId="9224" xr:uid="{5F411F69-F963-4DDD-8560-EA577E2996DF}"/>
    <cellStyle name="Normal 12 2 3 7" xfId="7158" xr:uid="{D123C07D-91EF-4A4A-9478-66C0C6700622}"/>
    <cellStyle name="Normal 12 2 3 8" xfId="2854" xr:uid="{49A311DD-A9E9-4822-B213-B088BDD07894}"/>
    <cellStyle name="Normal 12 2 3 9" xfId="2025" xr:uid="{8C5E564C-8DEB-4CE2-AA87-3D08287B3798}"/>
    <cellStyle name="Normal 12 2 4" xfId="769" xr:uid="{00000000-0005-0000-0000-0000CC010000}"/>
    <cellStyle name="Normal 12 2 4 2" xfId="5496" xr:uid="{448FAD91-FD83-4FCD-A00B-08F0F4DAEA0E}"/>
    <cellStyle name="Normal 12 2 4 2 2" xfId="9714" xr:uid="{D06C2E00-676C-45C6-B41B-6A3C332F4DD0}"/>
    <cellStyle name="Normal 12 2 4 3" xfId="7569" xr:uid="{E6F92B1F-1F76-4B3C-9228-7F68BAC2541D}"/>
    <cellStyle name="Normal 12 2 4 4" xfId="3266" xr:uid="{2B45C152-93A9-4F23-BE65-405853E3AEA3}"/>
    <cellStyle name="Normal 12 2 4 5" xfId="2438" xr:uid="{A0CAF239-F550-413E-BCC5-DC5DA00BA52A}"/>
    <cellStyle name="Normal 12 2 4 6" xfId="1609" xr:uid="{7977F762-525A-4388-8988-7D618646645F}"/>
    <cellStyle name="Normal 12 2 5" xfId="3680" xr:uid="{8F1FF831-A619-48DB-AD0B-7384EFA2B3D8}"/>
    <cellStyle name="Normal 12 2 5 2" xfId="5909" xr:uid="{50323A62-7A32-46F4-9623-51B8115245BF}"/>
    <cellStyle name="Normal 12 2 5 2 2" xfId="10127" xr:uid="{135AEFA3-230B-4BD1-B630-449213804CE8}"/>
    <cellStyle name="Normal 12 2 5 3" xfId="7982" xr:uid="{F67E7A57-94E9-4F4E-BA26-A1ECB8429263}"/>
    <cellStyle name="Normal 12 2 6" xfId="4093" xr:uid="{310303C6-5FD1-4A0E-958D-0CC0029142B5}"/>
    <cellStyle name="Normal 12 2 6 2" xfId="6322" xr:uid="{A27E0E28-EEA4-438C-BC9D-1C575705D291}"/>
    <cellStyle name="Normal 12 2 6 2 2" xfId="10540" xr:uid="{3887BC63-81C4-4C97-98A7-CE0A6E3D4F37}"/>
    <cellStyle name="Normal 12 2 6 3" xfId="8395" xr:uid="{4230CD79-B1F5-4A08-B480-43D0CF76A69A}"/>
    <cellStyle name="Normal 12 2 7" xfId="4506" xr:uid="{84E45D8F-5E8B-4DD0-BBFE-4515956F445F}"/>
    <cellStyle name="Normal 12 2 7 2" xfId="6735" xr:uid="{9DCDF3C8-4C96-4811-9EC1-A123920FABCF}"/>
    <cellStyle name="Normal 12 2 7 2 2" xfId="10953" xr:uid="{83913C95-9C64-45C3-875F-5FC79BEAB9E8}"/>
    <cellStyle name="Normal 12 2 7 3" xfId="8808" xr:uid="{BEAE040B-CE5C-4A00-AC03-1070102E20D8}"/>
    <cellStyle name="Normal 12 2 8" xfId="4942" xr:uid="{C178E04F-E83B-42DC-97C3-3AE0C40CE019}"/>
    <cellStyle name="Normal 12 2 8 2" xfId="9221" xr:uid="{9694E13E-ACB5-477B-B0A2-D7F0DF519DEB}"/>
    <cellStyle name="Normal 12 2 9" xfId="7155" xr:uid="{1F66F29B-EFD1-4CBD-B489-10752C1A767B}"/>
    <cellStyle name="Normal 12 3" xfId="266" xr:uid="{00000000-0005-0000-0000-0000CD010000}"/>
    <cellStyle name="Normal 12 3 10" xfId="2026" xr:uid="{19DDE0C1-0E23-4F32-8F6A-B23D37706ABE}"/>
    <cellStyle name="Normal 12 3 11" xfId="1197" xr:uid="{1EC0DDCF-7253-4B94-BE9E-8125C10CE4A4}"/>
    <cellStyle name="Normal 12 3 2" xfId="267" xr:uid="{00000000-0005-0000-0000-0000CE010000}"/>
    <cellStyle name="Normal 12 3 2 10" xfId="1198" xr:uid="{B5605918-D446-4625-929F-8FD00827A10E}"/>
    <cellStyle name="Normal 12 3 2 2" xfId="774" xr:uid="{00000000-0005-0000-0000-0000CF010000}"/>
    <cellStyle name="Normal 12 3 2 2 2" xfId="5501" xr:uid="{B3C4258F-42BB-40A0-B153-DE12DA5BBE15}"/>
    <cellStyle name="Normal 12 3 2 2 2 2" xfId="9719" xr:uid="{602C6626-386A-4CFB-893D-16CB7F337591}"/>
    <cellStyle name="Normal 12 3 2 2 3" xfId="7574" xr:uid="{EEE37453-3359-4751-A3C5-AF8E1A465E75}"/>
    <cellStyle name="Normal 12 3 2 2 4" xfId="3271" xr:uid="{41786276-A5DE-4677-B013-3CA653537AD6}"/>
    <cellStyle name="Normal 12 3 2 2 5" xfId="2443" xr:uid="{0167E0FE-C271-4CB0-AD30-8C128540E480}"/>
    <cellStyle name="Normal 12 3 2 2 6" xfId="1614" xr:uid="{8A97807A-C0E8-4C68-A949-C9261B78D576}"/>
    <cellStyle name="Normal 12 3 2 3" xfId="3685" xr:uid="{F79125E8-EADA-4532-B661-86C8FD96452F}"/>
    <cellStyle name="Normal 12 3 2 3 2" xfId="5914" xr:uid="{49E88B92-FB56-4A8D-84E8-5C4FB5D19C76}"/>
    <cellStyle name="Normal 12 3 2 3 2 2" xfId="10132" xr:uid="{6A5FE405-0875-4731-87EB-DD1B5ED05396}"/>
    <cellStyle name="Normal 12 3 2 3 3" xfId="7987" xr:uid="{FAEE3764-3DBD-47AF-8A38-23F097BC540C}"/>
    <cellStyle name="Normal 12 3 2 4" xfId="4098" xr:uid="{4EE97BDB-2F9A-45D8-8C07-EFD3F797E8B1}"/>
    <cellStyle name="Normal 12 3 2 4 2" xfId="6327" xr:uid="{C40B6AE1-C633-43CE-A5B3-8F4A15EBB3BD}"/>
    <cellStyle name="Normal 12 3 2 4 2 2" xfId="10545" xr:uid="{18D14B73-0D9A-4149-B82C-FB882A764655}"/>
    <cellStyle name="Normal 12 3 2 4 3" xfId="8400" xr:uid="{5F1DB35B-19A5-4998-9A5D-8F45E7B832D1}"/>
    <cellStyle name="Normal 12 3 2 5" xfId="4511" xr:uid="{1CFC4433-052B-4527-A5F4-0470DD7AF9E5}"/>
    <cellStyle name="Normal 12 3 2 5 2" xfId="6740" xr:uid="{E104A998-EDA7-4952-B039-ADFBE4927515}"/>
    <cellStyle name="Normal 12 3 2 5 2 2" xfId="10958" xr:uid="{95BC5A43-9C75-46F5-958A-CCCD8C81EB02}"/>
    <cellStyle name="Normal 12 3 2 5 3" xfId="8813" xr:uid="{8874BA5F-5198-45DE-92D8-E56570A0C86B}"/>
    <cellStyle name="Normal 12 3 2 6" xfId="4947" xr:uid="{375E9ADE-E69B-419B-8C62-C5A60CAEFCC0}"/>
    <cellStyle name="Normal 12 3 2 6 2" xfId="9226" xr:uid="{1F45F898-42C3-4A56-B777-DBE6591177B5}"/>
    <cellStyle name="Normal 12 3 2 7" xfId="7160" xr:uid="{076D9219-EED7-4C56-978D-A6ADE8EF8D70}"/>
    <cellStyle name="Normal 12 3 2 8" xfId="2856" xr:uid="{F91577CF-D35C-48E5-ADF1-E4E4BA29FE24}"/>
    <cellStyle name="Normal 12 3 2 9" xfId="2027" xr:uid="{211C9000-E51C-46CF-9721-5C4FD7F4A354}"/>
    <cellStyle name="Normal 12 3 3" xfId="773" xr:uid="{00000000-0005-0000-0000-0000D0010000}"/>
    <cellStyle name="Normal 12 3 3 2" xfId="5500" xr:uid="{2E53CE6F-36D8-413F-B0D5-2C63C05879FC}"/>
    <cellStyle name="Normal 12 3 3 2 2" xfId="9718" xr:uid="{AF79599C-869A-432E-8F19-23CC9AC7A578}"/>
    <cellStyle name="Normal 12 3 3 3" xfId="7573" xr:uid="{26B5C3FE-7C1E-49F8-9540-22D21738DC31}"/>
    <cellStyle name="Normal 12 3 3 4" xfId="3270" xr:uid="{BC36183E-6615-49C9-8E44-8BF6701868C3}"/>
    <cellStyle name="Normal 12 3 3 5" xfId="2442" xr:uid="{844DFAA8-6BBF-4B64-8DB4-3F64C52B47F9}"/>
    <cellStyle name="Normal 12 3 3 6" xfId="1613" xr:uid="{C21CD58B-4764-4C54-B0AE-55F5A3368BF9}"/>
    <cellStyle name="Normal 12 3 4" xfId="3684" xr:uid="{9B173607-0F60-47FC-B0B4-34F4DA7C8815}"/>
    <cellStyle name="Normal 12 3 4 2" xfId="5913" xr:uid="{3C2C541E-6BEC-4948-8702-A78E2ECA0204}"/>
    <cellStyle name="Normal 12 3 4 2 2" xfId="10131" xr:uid="{29B4E4F4-436F-4B13-BEA0-91BE3A22A411}"/>
    <cellStyle name="Normal 12 3 4 3" xfId="7986" xr:uid="{04E30CFF-8321-4EAB-AEC6-9CEA99572D88}"/>
    <cellStyle name="Normal 12 3 5" xfId="4097" xr:uid="{01C46F87-4357-484D-B9BA-79E52770FB18}"/>
    <cellStyle name="Normal 12 3 5 2" xfId="6326" xr:uid="{B6C7AE0D-1938-4C61-AEA1-93ADCEBD4EBF}"/>
    <cellStyle name="Normal 12 3 5 2 2" xfId="10544" xr:uid="{9137366B-DA3D-4F94-98C3-9FF976E5E474}"/>
    <cellStyle name="Normal 12 3 5 3" xfId="8399" xr:uid="{7483B7FF-A644-4016-9556-FF7F6C77DC63}"/>
    <cellStyle name="Normal 12 3 6" xfId="4510" xr:uid="{08E7D972-34C2-4FCF-9EC7-D05E2FC32D65}"/>
    <cellStyle name="Normal 12 3 6 2" xfId="6739" xr:uid="{20767A76-E75D-4015-8F6C-C340DE3617FF}"/>
    <cellStyle name="Normal 12 3 6 2 2" xfId="10957" xr:uid="{7D2A30B9-25D0-47BE-9D41-E7FE1EC3AE4E}"/>
    <cellStyle name="Normal 12 3 6 3" xfId="8812" xr:uid="{AF33229E-A4FF-4431-99E7-687B0349A887}"/>
    <cellStyle name="Normal 12 3 7" xfId="4946" xr:uid="{812D7259-0ADD-4061-BF65-D8D1A6D0C069}"/>
    <cellStyle name="Normal 12 3 7 2" xfId="9225" xr:uid="{52A96480-3D91-44CA-8DC7-A39C4B56A862}"/>
    <cellStyle name="Normal 12 3 8" xfId="7159" xr:uid="{178967F4-5315-4D3D-B984-0402AE7ADDBF}"/>
    <cellStyle name="Normal 12 3 9" xfId="2855" xr:uid="{927A9740-23ED-42C0-A8F2-779EE8223287}"/>
    <cellStyle name="Normal 12 4" xfId="268" xr:uid="{00000000-0005-0000-0000-0000D1010000}"/>
    <cellStyle name="Normal 12 4 10" xfId="1199" xr:uid="{1AE762E8-83E8-4F6E-83D2-ABC2CB79488A}"/>
    <cellStyle name="Normal 12 4 2" xfId="775" xr:uid="{00000000-0005-0000-0000-0000D2010000}"/>
    <cellStyle name="Normal 12 4 2 2" xfId="5502" xr:uid="{D32B8819-9437-41FA-8ADA-F19C7E5638F0}"/>
    <cellStyle name="Normal 12 4 2 2 2" xfId="9720" xr:uid="{9C4464B5-8581-46BE-A4B3-E8F9A689CB9D}"/>
    <cellStyle name="Normal 12 4 2 3" xfId="7575" xr:uid="{B51866AD-4BFB-42A7-9371-73383AD099BD}"/>
    <cellStyle name="Normal 12 4 2 4" xfId="3272" xr:uid="{1988C32D-B394-4C7F-BC59-4F041934342E}"/>
    <cellStyle name="Normal 12 4 2 5" xfId="2444" xr:uid="{E203D53A-BD9A-4227-B62E-67D8A5ACEB4A}"/>
    <cellStyle name="Normal 12 4 2 6" xfId="1615" xr:uid="{0B5D55F9-4C24-490B-85AC-19B0A06DBAC9}"/>
    <cellStyle name="Normal 12 4 3" xfId="3686" xr:uid="{49045F94-8CFB-43EF-A735-E6164FD03105}"/>
    <cellStyle name="Normal 12 4 3 2" xfId="5915" xr:uid="{92A3E6E3-ED84-46C7-9D79-660622985B58}"/>
    <cellStyle name="Normal 12 4 3 2 2" xfId="10133" xr:uid="{7C74FB8D-3490-4BD8-8A7F-C2F0348ADE8B}"/>
    <cellStyle name="Normal 12 4 3 3" xfId="7988" xr:uid="{426923B6-6775-4FF6-A0B5-2F754C84F171}"/>
    <cellStyle name="Normal 12 4 4" xfId="4099" xr:uid="{26ABD930-9802-4997-9092-F6E0F5D6029B}"/>
    <cellStyle name="Normal 12 4 4 2" xfId="6328" xr:uid="{AF4A88CB-2218-4BAF-A436-56A5A41B0696}"/>
    <cellStyle name="Normal 12 4 4 2 2" xfId="10546" xr:uid="{25ECB8F0-E1F1-4374-95BB-A6595AAC8228}"/>
    <cellStyle name="Normal 12 4 4 3" xfId="8401" xr:uid="{39514595-E168-43D4-9C12-D578992E29B3}"/>
    <cellStyle name="Normal 12 4 5" xfId="4512" xr:uid="{75A337FA-F40A-47EE-9737-22599E8EED93}"/>
    <cellStyle name="Normal 12 4 5 2" xfId="6741" xr:uid="{AB31EE42-5769-4E64-B35F-E2458C064547}"/>
    <cellStyle name="Normal 12 4 5 2 2" xfId="10959" xr:uid="{38D7E14D-4EBB-48C4-B17B-F58BBF1039C9}"/>
    <cellStyle name="Normal 12 4 5 3" xfId="8814" xr:uid="{8385D0EF-A5EB-45E6-AF1F-B83031CECCC6}"/>
    <cellStyle name="Normal 12 4 6" xfId="4948" xr:uid="{8D326211-94CA-4488-B1DA-5B3C6ED13D37}"/>
    <cellStyle name="Normal 12 4 6 2" xfId="9227" xr:uid="{DFE5140E-54EE-4255-923E-E4D324AF15EB}"/>
    <cellStyle name="Normal 12 4 7" xfId="7161" xr:uid="{975401A8-3B94-4AFB-BE60-CB761630FAE4}"/>
    <cellStyle name="Normal 12 4 8" xfId="2857" xr:uid="{06E2138C-849F-4F42-AC86-D0EC9B01EDDB}"/>
    <cellStyle name="Normal 12 4 9" xfId="2028" xr:uid="{E01AB3B8-2025-4A4F-879A-D9067F94A265}"/>
    <cellStyle name="Normal 12 5" xfId="269" xr:uid="{00000000-0005-0000-0000-0000D3010000}"/>
    <cellStyle name="Normal 12 6" xfId="768" xr:uid="{00000000-0005-0000-0000-0000D4010000}"/>
    <cellStyle name="Normal 12 6 2" xfId="5495" xr:uid="{3C490D1E-9ABE-41BC-A6CB-17611919D54D}"/>
    <cellStyle name="Normal 12 6 2 2" xfId="9713" xr:uid="{BE40D25A-0F8E-4195-B71B-2EB58435DBD7}"/>
    <cellStyle name="Normal 12 6 3" xfId="7568" xr:uid="{5444C8F7-A9B9-4419-BDF8-C1B99FB7A2B9}"/>
    <cellStyle name="Normal 12 6 4" xfId="3265" xr:uid="{2D52DBBF-483E-4D91-9C7F-606AE985BA99}"/>
    <cellStyle name="Normal 12 6 5" xfId="2437" xr:uid="{DA7EE353-6B94-4991-9F35-C9AB56BA9912}"/>
    <cellStyle name="Normal 12 6 6" xfId="1608" xr:uid="{6E5C1AE5-CD27-4E75-A580-FCCDC5B56CCE}"/>
    <cellStyle name="Normal 12 7" xfId="3679" xr:uid="{2CAD4101-D181-4E5F-A7BE-BB692A3E1374}"/>
    <cellStyle name="Normal 12 7 2" xfId="5908" xr:uid="{62E27AA3-70B2-4382-8F5D-EBFD2A646D5E}"/>
    <cellStyle name="Normal 12 7 2 2" xfId="10126" xr:uid="{666D471F-D457-4633-BCDB-8F5A4AD55609}"/>
    <cellStyle name="Normal 12 7 3" xfId="7981" xr:uid="{02E696A0-043A-4FA2-A57A-2A7299B8E956}"/>
    <cellStyle name="Normal 12 8" xfId="4092" xr:uid="{FE9B3AF8-1D4E-4044-8CB6-0B690552D56C}"/>
    <cellStyle name="Normal 12 8 2" xfId="6321" xr:uid="{2F90D801-99A0-4411-89A0-F99DB01C24CC}"/>
    <cellStyle name="Normal 12 8 2 2" xfId="10539" xr:uid="{E0C9EDC1-9C16-4D52-9BC5-731835B806F4}"/>
    <cellStyle name="Normal 12 8 3" xfId="8394" xr:uid="{ED088F55-14FC-4FE9-B8AA-7D879CEFA052}"/>
    <cellStyle name="Normal 12 9" xfId="4505" xr:uid="{1DCA18AF-5DB9-43D6-B38C-E4D79B82CBC2}"/>
    <cellStyle name="Normal 12 9 2" xfId="6734" xr:uid="{B2325DFB-EE0F-4CD5-A415-655AB93ABFA6}"/>
    <cellStyle name="Normal 12 9 2 2" xfId="10952" xr:uid="{3A8BA6CB-69A3-42A2-8123-BAD2E0508223}"/>
    <cellStyle name="Normal 12 9 3" xfId="8807" xr:uid="{3E3BF8AE-D991-42D8-A7B0-8D7051FBB42F}"/>
    <cellStyle name="Normal 13" xfId="270" xr:uid="{00000000-0005-0000-0000-0000D5010000}"/>
    <cellStyle name="Normal 13 2" xfId="271" xr:uid="{00000000-0005-0000-0000-0000D6010000}"/>
    <cellStyle name="Normal 14" xfId="272" xr:uid="{00000000-0005-0000-0000-0000D7010000}"/>
    <cellStyle name="Normal 14 10" xfId="1200" xr:uid="{CF85966D-C601-4877-9BD2-A02E94D90BEF}"/>
    <cellStyle name="Normal 14 2" xfId="776" xr:uid="{00000000-0005-0000-0000-0000D8010000}"/>
    <cellStyle name="Normal 14 2 2" xfId="5503" xr:uid="{42310722-669B-478F-84BA-7E632ABBB994}"/>
    <cellStyle name="Normal 14 2 2 2" xfId="9721" xr:uid="{78242805-A250-4900-9C7B-FDB75C61646E}"/>
    <cellStyle name="Normal 14 2 3" xfId="7576" xr:uid="{3B80A9B1-E57F-4544-B582-8CB8984329C3}"/>
    <cellStyle name="Normal 14 2 4" xfId="3273" xr:uid="{020177EE-B346-4AB2-B759-1B7746D9F560}"/>
    <cellStyle name="Normal 14 2 5" xfId="2445" xr:uid="{2E250B28-469C-40C0-96F8-4A77FE311DB2}"/>
    <cellStyle name="Normal 14 2 6" xfId="1616" xr:uid="{85ECA0CB-B0E3-4C14-8579-4DA6E7FB3C31}"/>
    <cellStyle name="Normal 14 3" xfId="3687" xr:uid="{C1D2E6C5-F2ED-47C6-B0EB-D3111D0A2201}"/>
    <cellStyle name="Normal 14 3 2" xfId="5916" xr:uid="{D9002334-17C0-4BBB-81C8-2B71361E8006}"/>
    <cellStyle name="Normal 14 3 2 2" xfId="10134" xr:uid="{C863C048-46DF-4C9C-80E3-C692C94E7EB3}"/>
    <cellStyle name="Normal 14 3 3" xfId="7989" xr:uid="{A61F7A41-0C8F-46BF-BAA2-BF77533C07A6}"/>
    <cellStyle name="Normal 14 4" xfId="4100" xr:uid="{2A147EA8-776B-4894-865E-505BA9A9A780}"/>
    <cellStyle name="Normal 14 4 2" xfId="6329" xr:uid="{3A9D6A17-2B14-47EE-AD85-2EFE01F022D3}"/>
    <cellStyle name="Normal 14 4 2 2" xfId="10547" xr:uid="{8DE0EA22-47E4-4EE3-9F5D-236D936D6253}"/>
    <cellStyle name="Normal 14 4 3" xfId="8402" xr:uid="{752D5820-A88D-49EA-9B47-1D0AE7D4F905}"/>
    <cellStyle name="Normal 14 5" xfId="4513" xr:uid="{2A2F343A-0E59-406E-AB0B-B12CD3949871}"/>
    <cellStyle name="Normal 14 5 2" xfId="6742" xr:uid="{29D6FC6A-252A-4D87-AE8F-129047A6E6FF}"/>
    <cellStyle name="Normal 14 5 2 2" xfId="10960" xr:uid="{60DBC6A2-08F7-4FD4-9256-DEECF0DDBD43}"/>
    <cellStyle name="Normal 14 5 3" xfId="8815" xr:uid="{58240A0B-66F5-46F9-A0A8-09F9ABCCC547}"/>
    <cellStyle name="Normal 14 6" xfId="4949" xr:uid="{B18E228D-77E7-4E34-9F2D-3A1F7E4470CE}"/>
    <cellStyle name="Normal 14 6 2" xfId="9228" xr:uid="{5AD00434-4274-4E37-AA0A-CBDEA41D8B06}"/>
    <cellStyle name="Normal 14 7" xfId="7162" xr:uid="{83902BFC-88B0-4C29-9E61-4C7FB2EA9C6F}"/>
    <cellStyle name="Normal 14 8" xfId="2858" xr:uid="{AFC4AE30-B0EC-4A67-BCA1-0D418D9E61F0}"/>
    <cellStyle name="Normal 14 9" xfId="2029" xr:uid="{5BA9538F-3583-413E-B4C1-BA2D702A2AD2}"/>
    <cellStyle name="Normal 15" xfId="575" xr:uid="{00000000-0005-0000-0000-0000D9010000}"/>
    <cellStyle name="Normal 15 2" xfId="6988" xr:uid="{E68EDCC6-ADA5-4273-BA19-1A72B21BAD7B}"/>
    <cellStyle name="Normal 15 3" xfId="2274" xr:uid="{BCF6CB3B-D23E-47E2-9F15-5B599C7BD9F1}"/>
    <cellStyle name="Normal 15 4" xfId="1445" xr:uid="{15057010-2114-4A86-AAAC-D4AF5A16CAE7}"/>
    <cellStyle name="Normal 16" xfId="1031" xr:uid="{71555299-3AAE-4757-82DA-EA32672CBCC0}"/>
    <cellStyle name="Normal 16 2" xfId="11205" xr:uid="{D76DBB81-5842-4A36-88A1-2C61E198AA7D}"/>
    <cellStyle name="Normal 16 3" xfId="11208" xr:uid="{2EB644A4-89A0-467A-B091-0C4B97FD049E}"/>
    <cellStyle name="Normal 16 3 2" xfId="11211" xr:uid="{A6BB9FB0-BE22-43BB-9EDB-6C9978A0948E}"/>
    <cellStyle name="Normal 16 3 2 2" xfId="11214" xr:uid="{177F7205-1D31-4E66-83C4-2B8DA80AD5C4}"/>
    <cellStyle name="Normal 16 3 2 2 2" xfId="11218" xr:uid="{DF801312-F7A6-4F66-8938-C3C6DE89C280}"/>
    <cellStyle name="Normal 16 3 2 2 2 2" xfId="11221" xr:uid="{91AD212E-09A0-43BE-80A0-CD9C11BEA2F8}"/>
    <cellStyle name="Normal 16 4" xfId="6991" xr:uid="{906DAE10-205F-45C3-A284-1039BF450664}"/>
    <cellStyle name="Normal 17" xfId="11217" xr:uid="{26543D10-F2C6-46D9-85C2-5EFC8288FEBC}"/>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4514" xr:uid="{E8BEB876-74EB-446A-B0B3-7F18951EE802}"/>
    <cellStyle name="Normal 2 4 2 10 2" xfId="6743" xr:uid="{254FC021-B9F6-44EA-8833-DD6DDADEDF81}"/>
    <cellStyle name="Normal 2 4 2 10 2 2" xfId="10961" xr:uid="{1283F7DB-8E27-470D-AA06-EE0ED683A3DB}"/>
    <cellStyle name="Normal 2 4 2 10 3" xfId="8816" xr:uid="{710944E4-8EBA-4248-A409-60E648D25E60}"/>
    <cellStyle name="Normal 2 4 2 11" xfId="4950" xr:uid="{41618105-C0E2-48D7-8377-28234F56ABD2}"/>
    <cellStyle name="Normal 2 4 2 11 2" xfId="9229" xr:uid="{8600AC67-21DB-4E2C-85C8-AE8EB92B8097}"/>
    <cellStyle name="Normal 2 4 2 12" xfId="7163" xr:uid="{9078711D-C0D6-46CF-911B-C3C2D3C1B1C5}"/>
    <cellStyle name="Normal 2 4 2 13" xfId="2859" xr:uid="{76DC28FB-FAB3-4E04-8239-E094FF200053}"/>
    <cellStyle name="Normal 2 4 2 14" xfId="2030" xr:uid="{945D4EF3-EFEC-4B7E-9104-FC80890D13C8}"/>
    <cellStyle name="Normal 2 4 2 15" xfId="1201" xr:uid="{5D5AD6AB-9F6E-4A8D-8F73-9685C12F3AC9}"/>
    <cellStyle name="Normal 2 4 2 2" xfId="283" xr:uid="{00000000-0005-0000-0000-0000E6010000}"/>
    <cellStyle name="Normal 2 4 2 3" xfId="284" xr:uid="{00000000-0005-0000-0000-0000E7010000}"/>
    <cellStyle name="Normal 2 4 2 3 10" xfId="7164" xr:uid="{AB0CB3F7-77A1-408C-AF2C-D930891DF381}"/>
    <cellStyle name="Normal 2 4 2 3 11" xfId="2860" xr:uid="{A8B36966-5B37-454D-8B9E-DE17487555A1}"/>
    <cellStyle name="Normal 2 4 2 3 12" xfId="2031" xr:uid="{DB302C77-C539-45E3-A40C-66841AA4679F}"/>
    <cellStyle name="Normal 2 4 2 3 13" xfId="1202" xr:uid="{F42F19C2-5D07-47F4-81E6-A4694B8EEC0D}"/>
    <cellStyle name="Normal 2 4 2 3 2" xfId="285" xr:uid="{00000000-0005-0000-0000-0000E8010000}"/>
    <cellStyle name="Normal 2 4 2 3 2 10" xfId="2861" xr:uid="{8F0C15C4-2496-4B75-9930-905EBA1ABDD3}"/>
    <cellStyle name="Normal 2 4 2 3 2 11" xfId="2032" xr:uid="{91728676-72FE-46BC-B7B9-0F58380C7130}"/>
    <cellStyle name="Normal 2 4 2 3 2 12" xfId="1203" xr:uid="{A4C4AFDF-C1AB-40EB-96B2-F2F878EDAFD7}"/>
    <cellStyle name="Normal 2 4 2 3 2 2" xfId="286" xr:uid="{00000000-0005-0000-0000-0000E9010000}"/>
    <cellStyle name="Normal 2 4 2 3 2 2 10" xfId="2033" xr:uid="{413971EB-A6B0-488E-B65C-31F09A32F479}"/>
    <cellStyle name="Normal 2 4 2 3 2 2 11" xfId="1204" xr:uid="{6CB84930-8F2A-4C53-9DBB-DC21C5257A33}"/>
    <cellStyle name="Normal 2 4 2 3 2 2 2" xfId="287" xr:uid="{00000000-0005-0000-0000-0000EA010000}"/>
    <cellStyle name="Normal 2 4 2 3 2 2 2 10" xfId="1205" xr:uid="{18F11586-ECE7-4368-8B24-F96BCD8A3C3B}"/>
    <cellStyle name="Normal 2 4 2 3 2 2 2 2" xfId="783" xr:uid="{00000000-0005-0000-0000-0000EB010000}"/>
    <cellStyle name="Normal 2 4 2 3 2 2 2 2 2" xfId="5508" xr:uid="{98777A2C-D4D5-49A6-9D2B-248A17D0C72D}"/>
    <cellStyle name="Normal 2 4 2 3 2 2 2 2 2 2" xfId="9726" xr:uid="{D975338A-887B-4DEB-AFA1-E0D4AE820343}"/>
    <cellStyle name="Normal 2 4 2 3 2 2 2 2 3" xfId="7581" xr:uid="{E55E536A-271F-44D3-9F7B-9E103C31F7C5}"/>
    <cellStyle name="Normal 2 4 2 3 2 2 2 2 4" xfId="3279" xr:uid="{5CCFCEFB-5DBA-4C77-B739-AB3E34559EE0}"/>
    <cellStyle name="Normal 2 4 2 3 2 2 2 2 5" xfId="2450" xr:uid="{C6636EE2-E2F5-4C3B-A3CF-4785AB760990}"/>
    <cellStyle name="Normal 2 4 2 3 2 2 2 2 6" xfId="1621" xr:uid="{714DFDED-4B29-44D1-B868-BC4DBF1D25F6}"/>
    <cellStyle name="Normal 2 4 2 3 2 2 2 3" xfId="3692" xr:uid="{DDD27910-91A1-47C0-87E2-019355F17D74}"/>
    <cellStyle name="Normal 2 4 2 3 2 2 2 3 2" xfId="5921" xr:uid="{CE824F8D-CB8B-4FBC-B189-FB9566945656}"/>
    <cellStyle name="Normal 2 4 2 3 2 2 2 3 2 2" xfId="10139" xr:uid="{8EA6181A-DD66-4D74-822F-E26CC5E4D367}"/>
    <cellStyle name="Normal 2 4 2 3 2 2 2 3 3" xfId="7994" xr:uid="{F4D579DA-0DF7-4476-A96D-1F15BDD74575}"/>
    <cellStyle name="Normal 2 4 2 3 2 2 2 4" xfId="4105" xr:uid="{A2A95513-42EF-497E-B47F-B617E7A8ADD6}"/>
    <cellStyle name="Normal 2 4 2 3 2 2 2 4 2" xfId="6334" xr:uid="{FF9231BD-BF98-4F6F-9F36-EA0AE3599882}"/>
    <cellStyle name="Normal 2 4 2 3 2 2 2 4 2 2" xfId="10552" xr:uid="{8069C3FF-BCCF-4E12-B73B-8462338DCEE9}"/>
    <cellStyle name="Normal 2 4 2 3 2 2 2 4 3" xfId="8407" xr:uid="{25E88D10-173F-46B0-8D13-F4111BE39A85}"/>
    <cellStyle name="Normal 2 4 2 3 2 2 2 5" xfId="4518" xr:uid="{1ECA5576-669F-4F24-B89C-628818B73DC0}"/>
    <cellStyle name="Normal 2 4 2 3 2 2 2 5 2" xfId="6747" xr:uid="{60FD709A-DC04-4E68-9221-73997E683364}"/>
    <cellStyle name="Normal 2 4 2 3 2 2 2 5 2 2" xfId="10965" xr:uid="{6E079743-5C43-4496-AA04-AEB1587E1CC7}"/>
    <cellStyle name="Normal 2 4 2 3 2 2 2 5 3" xfId="8820" xr:uid="{0B9F2ABC-1869-4520-B09A-D1429C315928}"/>
    <cellStyle name="Normal 2 4 2 3 2 2 2 6" xfId="4954" xr:uid="{807580EB-7909-4D5B-AB9F-C64BF6DB68AE}"/>
    <cellStyle name="Normal 2 4 2 3 2 2 2 6 2" xfId="9233" xr:uid="{23DFD6BE-AEC9-4381-B9D2-E44C89AFF230}"/>
    <cellStyle name="Normal 2 4 2 3 2 2 2 7" xfId="7167" xr:uid="{25F0FB11-C853-4FDC-ADEC-9A5CA04F6B01}"/>
    <cellStyle name="Normal 2 4 2 3 2 2 2 8" xfId="2863" xr:uid="{53DE0E26-D417-42C9-9249-94BC373183AE}"/>
    <cellStyle name="Normal 2 4 2 3 2 2 2 9" xfId="2034" xr:uid="{03DFBCD1-ADB3-4DE9-BCC8-0F3229F1DDE5}"/>
    <cellStyle name="Normal 2 4 2 3 2 2 3" xfId="782" xr:uid="{00000000-0005-0000-0000-0000EC010000}"/>
    <cellStyle name="Normal 2 4 2 3 2 2 3 2" xfId="5507" xr:uid="{11CB2068-1E68-43C2-A021-A8107BA1978F}"/>
    <cellStyle name="Normal 2 4 2 3 2 2 3 2 2" xfId="9725" xr:uid="{0EC0571D-0A58-4807-887A-6EA7C5EBB0EC}"/>
    <cellStyle name="Normal 2 4 2 3 2 2 3 3" xfId="7580" xr:uid="{D7A8B06A-9522-42E5-B023-0E8047435B15}"/>
    <cellStyle name="Normal 2 4 2 3 2 2 3 4" xfId="3278" xr:uid="{7FF384FA-5861-4427-AA3D-AF7509D46F4D}"/>
    <cellStyle name="Normal 2 4 2 3 2 2 3 5" xfId="2449" xr:uid="{24904A53-75C9-43AB-B2BB-4C42D643560A}"/>
    <cellStyle name="Normal 2 4 2 3 2 2 3 6" xfId="1620" xr:uid="{54076F85-E8EB-4262-93D0-B83F9A409ADD}"/>
    <cellStyle name="Normal 2 4 2 3 2 2 4" xfId="3691" xr:uid="{66A9EF6A-43E8-4803-9C4C-BA096711CC94}"/>
    <cellStyle name="Normal 2 4 2 3 2 2 4 2" xfId="5920" xr:uid="{3078C303-2DC6-4DC3-85F3-4FC6AAE0C5FE}"/>
    <cellStyle name="Normal 2 4 2 3 2 2 4 2 2" xfId="10138" xr:uid="{010567D7-4FB4-477C-AA14-1ABD574B9617}"/>
    <cellStyle name="Normal 2 4 2 3 2 2 4 3" xfId="7993" xr:uid="{A204C595-6509-4174-A29B-8070AB3D6BC3}"/>
    <cellStyle name="Normal 2 4 2 3 2 2 5" xfId="4104" xr:uid="{61B25267-DCEC-4AA2-816E-0DA4E416181B}"/>
    <cellStyle name="Normal 2 4 2 3 2 2 5 2" xfId="6333" xr:uid="{BE56BDFE-F5DF-4A5B-8116-42A093DEE0F0}"/>
    <cellStyle name="Normal 2 4 2 3 2 2 5 2 2" xfId="10551" xr:uid="{A39BC631-7BA4-4AF9-A944-1815761654D9}"/>
    <cellStyle name="Normal 2 4 2 3 2 2 5 3" xfId="8406" xr:uid="{92527738-C499-4A22-9DB9-047974A5FCB1}"/>
    <cellStyle name="Normal 2 4 2 3 2 2 6" xfId="4517" xr:uid="{FD048E90-C581-47DC-843D-4092148F8595}"/>
    <cellStyle name="Normal 2 4 2 3 2 2 6 2" xfId="6746" xr:uid="{61B55C25-62F2-4AD0-A90D-43CBAAD59510}"/>
    <cellStyle name="Normal 2 4 2 3 2 2 6 2 2" xfId="10964" xr:uid="{5AACB537-68DD-4061-9DA4-CB04309677F3}"/>
    <cellStyle name="Normal 2 4 2 3 2 2 6 3" xfId="8819" xr:uid="{492870AC-04E5-476B-B1CB-CCA20BA2569C}"/>
    <cellStyle name="Normal 2 4 2 3 2 2 7" xfId="4953" xr:uid="{341035E5-7616-4561-9117-A454B403C436}"/>
    <cellStyle name="Normal 2 4 2 3 2 2 7 2" xfId="9232" xr:uid="{AC43E738-6F0A-4763-87AB-0ABCD9700D62}"/>
    <cellStyle name="Normal 2 4 2 3 2 2 8" xfId="7166" xr:uid="{33CB61C4-33E1-4CB1-A074-3D6D26B2EBDF}"/>
    <cellStyle name="Normal 2 4 2 3 2 2 9" xfId="2862" xr:uid="{7E10EC16-6D27-4DCC-8BD3-7153ABFFB967}"/>
    <cellStyle name="Normal 2 4 2 3 2 3" xfId="288" xr:uid="{00000000-0005-0000-0000-0000ED010000}"/>
    <cellStyle name="Normal 2 4 2 3 2 3 10" xfId="1206" xr:uid="{8FAFF415-9E4E-456B-806C-EDFE873D13C8}"/>
    <cellStyle name="Normal 2 4 2 3 2 3 2" xfId="784" xr:uid="{00000000-0005-0000-0000-0000EE010000}"/>
    <cellStyle name="Normal 2 4 2 3 2 3 2 2" xfId="5509" xr:uid="{3B34C0A5-76C3-403B-9A33-3D619298E20C}"/>
    <cellStyle name="Normal 2 4 2 3 2 3 2 2 2" xfId="9727" xr:uid="{3B18B85D-4AFE-45E6-8254-2C000DAC807A}"/>
    <cellStyle name="Normal 2 4 2 3 2 3 2 3" xfId="7582" xr:uid="{F6523260-8DC3-40F4-B264-EEC7DB5A508C}"/>
    <cellStyle name="Normal 2 4 2 3 2 3 2 4" xfId="3280" xr:uid="{E488831B-FC42-4214-9889-499B472B6B34}"/>
    <cellStyle name="Normal 2 4 2 3 2 3 2 5" xfId="2451" xr:uid="{6CF1CE39-670A-4722-8958-304E905BE23B}"/>
    <cellStyle name="Normal 2 4 2 3 2 3 2 6" xfId="1622" xr:uid="{7B1C99C8-6E09-4978-BABE-3120FBA2AF5D}"/>
    <cellStyle name="Normal 2 4 2 3 2 3 3" xfId="3693" xr:uid="{6730B1AA-7E44-4EA9-B7C7-A836A3B4E13D}"/>
    <cellStyle name="Normal 2 4 2 3 2 3 3 2" xfId="5922" xr:uid="{6A6670AF-7D43-40A4-B68A-9AFF929D804A}"/>
    <cellStyle name="Normal 2 4 2 3 2 3 3 2 2" xfId="10140" xr:uid="{9527BB17-EF9C-4C16-80D5-0B303E470002}"/>
    <cellStyle name="Normal 2 4 2 3 2 3 3 3" xfId="7995" xr:uid="{4575B70D-097F-4CD1-89E4-75C290623385}"/>
    <cellStyle name="Normal 2 4 2 3 2 3 4" xfId="4106" xr:uid="{ECA78087-F877-44F1-B37F-62AACAD0E015}"/>
    <cellStyle name="Normal 2 4 2 3 2 3 4 2" xfId="6335" xr:uid="{8ED263BE-6552-4D06-BB3C-2E7BC9FB3BCD}"/>
    <cellStyle name="Normal 2 4 2 3 2 3 4 2 2" xfId="10553" xr:uid="{CA675360-1801-4A3C-A995-9B1B8DE16297}"/>
    <cellStyle name="Normal 2 4 2 3 2 3 4 3" xfId="8408" xr:uid="{D2FBEA3B-9A73-4C49-9C0B-8DC5C67D87B6}"/>
    <cellStyle name="Normal 2 4 2 3 2 3 5" xfId="4519" xr:uid="{9B8DDEF5-6442-40A8-AEE5-38C75F6B5AF4}"/>
    <cellStyle name="Normal 2 4 2 3 2 3 5 2" xfId="6748" xr:uid="{3A09BCD4-FA6E-42B4-8145-E4C7737FB541}"/>
    <cellStyle name="Normal 2 4 2 3 2 3 5 2 2" xfId="10966" xr:uid="{A93DD07B-00C0-4F6A-886A-DF4E38EA7304}"/>
    <cellStyle name="Normal 2 4 2 3 2 3 5 3" xfId="8821" xr:uid="{8B738301-6043-455B-B5B6-DDE9E675667E}"/>
    <cellStyle name="Normal 2 4 2 3 2 3 6" xfId="4955" xr:uid="{0FED5BCE-F3EB-4E1A-93A5-CEA5E29E988E}"/>
    <cellStyle name="Normal 2 4 2 3 2 3 6 2" xfId="9234" xr:uid="{B272B778-34CB-489C-93B2-D3AFF0803B14}"/>
    <cellStyle name="Normal 2 4 2 3 2 3 7" xfId="7168" xr:uid="{85754899-DC85-43AC-B404-949C97D2B6A7}"/>
    <cellStyle name="Normal 2 4 2 3 2 3 8" xfId="2864" xr:uid="{820EE5A1-81C7-49C6-8A0C-A3367884D583}"/>
    <cellStyle name="Normal 2 4 2 3 2 3 9" xfId="2035" xr:uid="{91BD5DBE-B05B-435C-9D86-0C5F73AD68C4}"/>
    <cellStyle name="Normal 2 4 2 3 2 4" xfId="781" xr:uid="{00000000-0005-0000-0000-0000EF010000}"/>
    <cellStyle name="Normal 2 4 2 3 2 4 2" xfId="5506" xr:uid="{DB3BC41B-9394-4BD5-A170-0D6EF8356D05}"/>
    <cellStyle name="Normal 2 4 2 3 2 4 2 2" xfId="9724" xr:uid="{E882804D-B2A8-4A98-92DD-F40CEC714E16}"/>
    <cellStyle name="Normal 2 4 2 3 2 4 3" xfId="7579" xr:uid="{1F377848-38A3-42AB-ACFE-5BD99BE71AB5}"/>
    <cellStyle name="Normal 2 4 2 3 2 4 4" xfId="3277" xr:uid="{B2583894-5547-46F1-89E4-5144AF1479BD}"/>
    <cellStyle name="Normal 2 4 2 3 2 4 5" xfId="2448" xr:uid="{5064E0CF-2F5B-4F1B-9BE3-820E7877A492}"/>
    <cellStyle name="Normal 2 4 2 3 2 4 6" xfId="1619" xr:uid="{090DE2F4-6BBA-4596-996F-8A3D294BF513}"/>
    <cellStyle name="Normal 2 4 2 3 2 5" xfId="3690" xr:uid="{AAD96624-3058-497C-B926-769677CB8157}"/>
    <cellStyle name="Normal 2 4 2 3 2 5 2" xfId="5919" xr:uid="{EE1C601B-EF09-4837-AD87-0DBAB329EF3D}"/>
    <cellStyle name="Normal 2 4 2 3 2 5 2 2" xfId="10137" xr:uid="{08091F6E-B3F6-4F25-9485-6F02633D3A85}"/>
    <cellStyle name="Normal 2 4 2 3 2 5 3" xfId="7992" xr:uid="{0509D3AE-AF14-4A29-BFA9-6870D8155779}"/>
    <cellStyle name="Normal 2 4 2 3 2 6" xfId="4103" xr:uid="{385500F4-FA8A-448C-B4BC-80C9FDC78380}"/>
    <cellStyle name="Normal 2 4 2 3 2 6 2" xfId="6332" xr:uid="{17095718-727E-42EC-9D7B-017F84E13A57}"/>
    <cellStyle name="Normal 2 4 2 3 2 6 2 2" xfId="10550" xr:uid="{C05F8075-3191-4E09-BC87-A3063D84E8A9}"/>
    <cellStyle name="Normal 2 4 2 3 2 6 3" xfId="8405" xr:uid="{D6AFE7C6-0829-4F51-8310-EA8AFC730E7A}"/>
    <cellStyle name="Normal 2 4 2 3 2 7" xfId="4516" xr:uid="{1ACFC21F-7C88-4151-811A-A056CA0BC8D9}"/>
    <cellStyle name="Normal 2 4 2 3 2 7 2" xfId="6745" xr:uid="{DC4140AC-E26C-431B-917E-D341C9BF841A}"/>
    <cellStyle name="Normal 2 4 2 3 2 7 2 2" xfId="10963" xr:uid="{012C2EA7-40D5-4709-A09F-CE1E9F5FDE54}"/>
    <cellStyle name="Normal 2 4 2 3 2 7 3" xfId="8818" xr:uid="{5B0DABCB-C5B5-4A51-9EFB-FA0AA200C0D9}"/>
    <cellStyle name="Normal 2 4 2 3 2 8" xfId="4952" xr:uid="{D760B598-0899-4BA5-90F4-59921B055EC2}"/>
    <cellStyle name="Normal 2 4 2 3 2 8 2" xfId="9231" xr:uid="{BD88CA87-E954-48BB-BF85-1CFC7CCB2A60}"/>
    <cellStyle name="Normal 2 4 2 3 2 9" xfId="7165" xr:uid="{9507CD68-DB04-4B8A-9998-C59F3B39098C}"/>
    <cellStyle name="Normal 2 4 2 3 3" xfId="289" xr:uid="{00000000-0005-0000-0000-0000F0010000}"/>
    <cellStyle name="Normal 2 4 2 3 3 10" xfId="2036" xr:uid="{7B5CBB4C-FB88-4E5D-AB73-0A8B4E127387}"/>
    <cellStyle name="Normal 2 4 2 3 3 11" xfId="1207" xr:uid="{050CEBA3-74A2-4F21-9222-239AF73A1197}"/>
    <cellStyle name="Normal 2 4 2 3 3 2" xfId="290" xr:uid="{00000000-0005-0000-0000-0000F1010000}"/>
    <cellStyle name="Normal 2 4 2 3 3 2 10" xfId="1208" xr:uid="{EBCC49A2-C0D1-464B-8695-C11F3B382F60}"/>
    <cellStyle name="Normal 2 4 2 3 3 2 2" xfId="786" xr:uid="{00000000-0005-0000-0000-0000F2010000}"/>
    <cellStyle name="Normal 2 4 2 3 3 2 2 2" xfId="5511" xr:uid="{2050DFF1-CB1F-4CFE-B4A4-A8399D73EDA2}"/>
    <cellStyle name="Normal 2 4 2 3 3 2 2 2 2" xfId="9729" xr:uid="{CC650FAE-13B3-4F23-8B41-B86BCD5F779D}"/>
    <cellStyle name="Normal 2 4 2 3 3 2 2 3" xfId="7584" xr:uid="{42D45A12-62E8-48EC-B94F-1A900F60C771}"/>
    <cellStyle name="Normal 2 4 2 3 3 2 2 4" xfId="3282" xr:uid="{7D38A2E7-8E82-419A-9064-916887800AEB}"/>
    <cellStyle name="Normal 2 4 2 3 3 2 2 5" xfId="2453" xr:uid="{D3A78D8E-EC79-493D-AE09-17ADF6DAE549}"/>
    <cellStyle name="Normal 2 4 2 3 3 2 2 6" xfId="1624" xr:uid="{D5B492F8-F9BD-4EAC-A746-A69D819D01E6}"/>
    <cellStyle name="Normal 2 4 2 3 3 2 3" xfId="3695" xr:uid="{C92555EC-2508-476D-B9B7-AD8CC2DE9638}"/>
    <cellStyle name="Normal 2 4 2 3 3 2 3 2" xfId="5924" xr:uid="{D6346D1F-D574-4413-91FB-AD6C1A410A6B}"/>
    <cellStyle name="Normal 2 4 2 3 3 2 3 2 2" xfId="10142" xr:uid="{5EB0CD9F-1BAA-4231-A86A-F9C0AF685B72}"/>
    <cellStyle name="Normal 2 4 2 3 3 2 3 3" xfId="7997" xr:uid="{EAE3D018-CCB5-42C3-9DC4-591B29A0FA4B}"/>
    <cellStyle name="Normal 2 4 2 3 3 2 4" xfId="4108" xr:uid="{1C6F73C6-6841-4CF2-9CFB-A1EEC8E378E5}"/>
    <cellStyle name="Normal 2 4 2 3 3 2 4 2" xfId="6337" xr:uid="{7DDC7DC4-B612-4ED8-9611-0E439E6C726B}"/>
    <cellStyle name="Normal 2 4 2 3 3 2 4 2 2" xfId="10555" xr:uid="{CB74E159-C532-4B55-A60F-FCEDAC864EF7}"/>
    <cellStyle name="Normal 2 4 2 3 3 2 4 3" xfId="8410" xr:uid="{E6B6D6C6-194D-4E10-ABFF-D09EA0612EF7}"/>
    <cellStyle name="Normal 2 4 2 3 3 2 5" xfId="4521" xr:uid="{6ECDA079-CD39-45FC-8E0B-62DD7076FFB4}"/>
    <cellStyle name="Normal 2 4 2 3 3 2 5 2" xfId="6750" xr:uid="{02DA959B-300B-42DF-9D2D-53BED4D1C4D8}"/>
    <cellStyle name="Normal 2 4 2 3 3 2 5 2 2" xfId="10968" xr:uid="{3F123733-1738-44C9-B2ED-6B17E6A4CB82}"/>
    <cellStyle name="Normal 2 4 2 3 3 2 5 3" xfId="8823" xr:uid="{1A505308-4D1B-47F4-B015-874037E891AB}"/>
    <cellStyle name="Normal 2 4 2 3 3 2 6" xfId="4957" xr:uid="{A22AF7DA-5734-4FC4-AAB4-F8379F6BB417}"/>
    <cellStyle name="Normal 2 4 2 3 3 2 6 2" xfId="9236" xr:uid="{E064A4B5-465C-4833-BAD8-32F1A532D65E}"/>
    <cellStyle name="Normal 2 4 2 3 3 2 7" xfId="7170" xr:uid="{7CAB1B2E-2AD1-4FD2-A5A5-6EBCAD9AE61B}"/>
    <cellStyle name="Normal 2 4 2 3 3 2 8" xfId="2866" xr:uid="{56ACAF33-8654-4D60-9412-88BD092A39C6}"/>
    <cellStyle name="Normal 2 4 2 3 3 2 9" xfId="2037" xr:uid="{762ACC5F-4D2E-4974-911F-0C1DD834C8E0}"/>
    <cellStyle name="Normal 2 4 2 3 3 3" xfId="785" xr:uid="{00000000-0005-0000-0000-0000F3010000}"/>
    <cellStyle name="Normal 2 4 2 3 3 3 2" xfId="5510" xr:uid="{F78E95CA-8516-4F2B-BBA4-71E0F8545901}"/>
    <cellStyle name="Normal 2 4 2 3 3 3 2 2" xfId="9728" xr:uid="{9C9711C2-87C1-464C-B191-712881709698}"/>
    <cellStyle name="Normal 2 4 2 3 3 3 3" xfId="7583" xr:uid="{6CBBAB54-FF1B-42D9-BD34-827161356334}"/>
    <cellStyle name="Normal 2 4 2 3 3 3 4" xfId="3281" xr:uid="{F86CD49A-345E-4C58-B69B-F1750D07D0DB}"/>
    <cellStyle name="Normal 2 4 2 3 3 3 5" xfId="2452" xr:uid="{C17E6872-6548-4264-9312-33AD62B8C9CC}"/>
    <cellStyle name="Normal 2 4 2 3 3 3 6" xfId="1623" xr:uid="{FE97A0CA-638E-4964-81ED-68B31C4815E3}"/>
    <cellStyle name="Normal 2 4 2 3 3 4" xfId="3694" xr:uid="{ABE7AB94-16DE-4E13-8B6C-9505A1D83AF1}"/>
    <cellStyle name="Normal 2 4 2 3 3 4 2" xfId="5923" xr:uid="{1B8253D3-8A2D-4D03-BC7F-294B5DE28B59}"/>
    <cellStyle name="Normal 2 4 2 3 3 4 2 2" xfId="10141" xr:uid="{56AEF8BC-D78E-4F0D-8ECD-6154EA095138}"/>
    <cellStyle name="Normal 2 4 2 3 3 4 3" xfId="7996" xr:uid="{06A1B7EF-08CC-400A-85B7-8B18F19EF39D}"/>
    <cellStyle name="Normal 2 4 2 3 3 5" xfId="4107" xr:uid="{E91FA0A9-8A24-4538-A11E-770407AE3B3D}"/>
    <cellStyle name="Normal 2 4 2 3 3 5 2" xfId="6336" xr:uid="{4A2D36C2-1DF3-4C9A-873B-1C4664D9AF2C}"/>
    <cellStyle name="Normal 2 4 2 3 3 5 2 2" xfId="10554" xr:uid="{A7DF07C2-E9FF-4163-823A-BF061DB679C5}"/>
    <cellStyle name="Normal 2 4 2 3 3 5 3" xfId="8409" xr:uid="{EE5B1649-47CE-4801-9576-4E8D813045F1}"/>
    <cellStyle name="Normal 2 4 2 3 3 6" xfId="4520" xr:uid="{F1E1AB8C-ED1F-46E7-8A6A-47C4964E022F}"/>
    <cellStyle name="Normal 2 4 2 3 3 6 2" xfId="6749" xr:uid="{3E266F6E-2C1D-4BDA-B3BE-D299A43F3610}"/>
    <cellStyle name="Normal 2 4 2 3 3 6 2 2" xfId="10967" xr:uid="{C0695C02-D199-4D07-975A-37F0D4DDCFEA}"/>
    <cellStyle name="Normal 2 4 2 3 3 6 3" xfId="8822" xr:uid="{E5A677AA-44AD-4BBD-94FF-7B2A66431CE8}"/>
    <cellStyle name="Normal 2 4 2 3 3 7" xfId="4956" xr:uid="{24C5AF14-CFC4-4064-BFCE-6B08808C17FF}"/>
    <cellStyle name="Normal 2 4 2 3 3 7 2" xfId="9235" xr:uid="{DFCD894F-FE7B-4FCB-B4D6-3A0745EEF06B}"/>
    <cellStyle name="Normal 2 4 2 3 3 8" xfId="7169" xr:uid="{2DBA8172-3573-45C2-9D26-17820C6026AB}"/>
    <cellStyle name="Normal 2 4 2 3 3 9" xfId="2865" xr:uid="{5B97308E-67F6-49EF-B297-0C2BBCE1E902}"/>
    <cellStyle name="Normal 2 4 2 3 4" xfId="291" xr:uid="{00000000-0005-0000-0000-0000F4010000}"/>
    <cellStyle name="Normal 2 4 2 3 4 10" xfId="1209" xr:uid="{C6D0296A-AB14-4017-B9A4-488B9BD40743}"/>
    <cellStyle name="Normal 2 4 2 3 4 2" xfId="787" xr:uid="{00000000-0005-0000-0000-0000F5010000}"/>
    <cellStyle name="Normal 2 4 2 3 4 2 2" xfId="5512" xr:uid="{26A97170-AD50-4939-AA05-1A0BC1B7ADE4}"/>
    <cellStyle name="Normal 2 4 2 3 4 2 2 2" xfId="9730" xr:uid="{5F40E3B0-14A1-47D2-9DBD-0942F294595F}"/>
    <cellStyle name="Normal 2 4 2 3 4 2 3" xfId="7585" xr:uid="{3CDAE5E5-93F2-41C0-A304-89C620DE1751}"/>
    <cellStyle name="Normal 2 4 2 3 4 2 4" xfId="3283" xr:uid="{F5628879-9232-4568-B73D-756985D09D3B}"/>
    <cellStyle name="Normal 2 4 2 3 4 2 5" xfId="2454" xr:uid="{2DD7743F-9586-480E-B2A8-856F44E31B87}"/>
    <cellStyle name="Normal 2 4 2 3 4 2 6" xfId="1625" xr:uid="{7E2F2A69-BC02-43A9-A7E9-0AF2B463ED55}"/>
    <cellStyle name="Normal 2 4 2 3 4 3" xfId="3696" xr:uid="{9C954D2C-F2A5-4F39-A458-8D82E63247A8}"/>
    <cellStyle name="Normal 2 4 2 3 4 3 2" xfId="5925" xr:uid="{B18D4A3D-68EC-443E-BDE1-D6401C7BC283}"/>
    <cellStyle name="Normal 2 4 2 3 4 3 2 2" xfId="10143" xr:uid="{8B18B64D-4AD3-42C4-B2D1-67C6512E5F56}"/>
    <cellStyle name="Normal 2 4 2 3 4 3 3" xfId="7998" xr:uid="{B8D43904-DBE9-4B7D-A69E-D70D30A3769E}"/>
    <cellStyle name="Normal 2 4 2 3 4 4" xfId="4109" xr:uid="{27F87C67-15CD-4662-9517-9F04B281AECA}"/>
    <cellStyle name="Normal 2 4 2 3 4 4 2" xfId="6338" xr:uid="{A6F0746B-6CA6-46EC-BE3C-A840C3E8681B}"/>
    <cellStyle name="Normal 2 4 2 3 4 4 2 2" xfId="10556" xr:uid="{66DFA254-A535-44BC-9FFE-30AAB48018F0}"/>
    <cellStyle name="Normal 2 4 2 3 4 4 3" xfId="8411" xr:uid="{E9F7F605-A727-4976-8FAA-2DB19C006431}"/>
    <cellStyle name="Normal 2 4 2 3 4 5" xfId="4522" xr:uid="{83DE0244-D5AB-431A-BA8F-C87401E67AE5}"/>
    <cellStyle name="Normal 2 4 2 3 4 5 2" xfId="6751" xr:uid="{DFAF4525-77AF-40F1-81C0-2A70C10DCA60}"/>
    <cellStyle name="Normal 2 4 2 3 4 5 2 2" xfId="10969" xr:uid="{4D6271D3-DD19-4030-97CA-B101D58522C0}"/>
    <cellStyle name="Normal 2 4 2 3 4 5 3" xfId="8824" xr:uid="{2E73605F-B4C1-4C86-8912-A45A66569D98}"/>
    <cellStyle name="Normal 2 4 2 3 4 6" xfId="4958" xr:uid="{F337D631-64DC-40E6-943F-A1CD8854A8C1}"/>
    <cellStyle name="Normal 2 4 2 3 4 6 2" xfId="9237" xr:uid="{EA5488F3-8380-4B63-B970-439A0E4CD518}"/>
    <cellStyle name="Normal 2 4 2 3 4 7" xfId="7171" xr:uid="{19AD67D0-C4B8-478A-8C01-9B2E31D07807}"/>
    <cellStyle name="Normal 2 4 2 3 4 8" xfId="2867" xr:uid="{79EF26DC-986A-4DB3-A82E-A836C7A41356}"/>
    <cellStyle name="Normal 2 4 2 3 4 9" xfId="2038" xr:uid="{29687480-7B09-4323-96A4-1C0F754B3DDE}"/>
    <cellStyle name="Normal 2 4 2 3 5" xfId="780" xr:uid="{00000000-0005-0000-0000-0000F6010000}"/>
    <cellStyle name="Normal 2 4 2 3 5 2" xfId="5505" xr:uid="{7097D65F-D396-42A7-91CB-6422083A01AD}"/>
    <cellStyle name="Normal 2 4 2 3 5 2 2" xfId="9723" xr:uid="{2F75C88F-9C41-40A0-B442-3060275CB83F}"/>
    <cellStyle name="Normal 2 4 2 3 5 3" xfId="7578" xr:uid="{6E09365A-FD92-41EC-8D83-E211EE89EA95}"/>
    <cellStyle name="Normal 2 4 2 3 5 4" xfId="3276" xr:uid="{755685FA-D3DA-4750-9B61-8F2D873F1CD7}"/>
    <cellStyle name="Normal 2 4 2 3 5 5" xfId="2447" xr:uid="{4001FE89-D1C9-433F-AC8C-6CC703015FBA}"/>
    <cellStyle name="Normal 2 4 2 3 5 6" xfId="1618" xr:uid="{09A218A0-D638-44F2-9284-94B0759D9E54}"/>
    <cellStyle name="Normal 2 4 2 3 6" xfId="3689" xr:uid="{EA955175-D63F-4329-AC09-6C8F961FDC7C}"/>
    <cellStyle name="Normal 2 4 2 3 6 2" xfId="5918" xr:uid="{B0DAED8E-16C0-4201-8185-5AC1F4C96191}"/>
    <cellStyle name="Normal 2 4 2 3 6 2 2" xfId="10136" xr:uid="{8A69C198-FDE4-4C02-8DAD-0AE56A3583A0}"/>
    <cellStyle name="Normal 2 4 2 3 6 3" xfId="7991" xr:uid="{921AC61A-0548-42F6-9014-945E2BA5CCF0}"/>
    <cellStyle name="Normal 2 4 2 3 7" xfId="4102" xr:uid="{D007077C-2931-4195-8668-81191D122426}"/>
    <cellStyle name="Normal 2 4 2 3 7 2" xfId="6331" xr:uid="{55915299-3A77-4C5F-B9BE-C5248000227C}"/>
    <cellStyle name="Normal 2 4 2 3 7 2 2" xfId="10549" xr:uid="{2C93A8BF-4669-4334-B71B-A68F6F0F7A90}"/>
    <cellStyle name="Normal 2 4 2 3 7 3" xfId="8404" xr:uid="{6BCD25FA-32F0-44F2-BCA4-8D2C7271062D}"/>
    <cellStyle name="Normal 2 4 2 3 8" xfId="4515" xr:uid="{6C0BC442-8413-42D0-9EC5-E0D8BE30EDB3}"/>
    <cellStyle name="Normal 2 4 2 3 8 2" xfId="6744" xr:uid="{1E3983BA-60E1-4BD1-A56D-E10392BFA4B4}"/>
    <cellStyle name="Normal 2 4 2 3 8 2 2" xfId="10962" xr:uid="{30C91649-B9A5-4EA2-B74F-48A37C29B90D}"/>
    <cellStyle name="Normal 2 4 2 3 8 3" xfId="8817" xr:uid="{467016E4-D475-4B48-8618-5B876D5C9FCB}"/>
    <cellStyle name="Normal 2 4 2 3 9" xfId="4951" xr:uid="{E56E9347-F08F-4AFD-AB5F-921B7241B0CC}"/>
    <cellStyle name="Normal 2 4 2 3 9 2" xfId="9230" xr:uid="{C797A148-178F-43D4-88AB-3E708320BB9E}"/>
    <cellStyle name="Normal 2 4 2 4" xfId="292" xr:uid="{00000000-0005-0000-0000-0000F7010000}"/>
    <cellStyle name="Normal 2 4 2 4 10" xfId="2868" xr:uid="{90EACC8D-5910-4556-81DD-282BE95532EE}"/>
    <cellStyle name="Normal 2 4 2 4 11" xfId="2039" xr:uid="{539179C7-777F-476C-8AB7-434E1370B0AE}"/>
    <cellStyle name="Normal 2 4 2 4 12" xfId="1210" xr:uid="{500B0DD0-3C3C-4B4D-BDF2-713FBE3308D8}"/>
    <cellStyle name="Normal 2 4 2 4 2" xfId="293" xr:uid="{00000000-0005-0000-0000-0000F8010000}"/>
    <cellStyle name="Normal 2 4 2 4 2 10" xfId="2040" xr:uid="{439F8EAA-450D-4338-90EC-6D0A9DE3D92A}"/>
    <cellStyle name="Normal 2 4 2 4 2 11" xfId="1211" xr:uid="{3727FD1F-FF75-4918-9B51-EF48C021193A}"/>
    <cellStyle name="Normal 2 4 2 4 2 2" xfId="294" xr:uid="{00000000-0005-0000-0000-0000F9010000}"/>
    <cellStyle name="Normal 2 4 2 4 2 2 10" xfId="1212" xr:uid="{5A6D0853-B039-4FC3-B199-983ABFD667E7}"/>
    <cellStyle name="Normal 2 4 2 4 2 2 2" xfId="790" xr:uid="{00000000-0005-0000-0000-0000FA010000}"/>
    <cellStyle name="Normal 2 4 2 4 2 2 2 2" xfId="5515" xr:uid="{5F6453F6-F0B0-4336-982D-355723F7A8A3}"/>
    <cellStyle name="Normal 2 4 2 4 2 2 2 2 2" xfId="9733" xr:uid="{B44964FC-BB09-41CB-B21D-31F82AF4A62B}"/>
    <cellStyle name="Normal 2 4 2 4 2 2 2 3" xfId="7588" xr:uid="{77D7ACFD-1B6D-41F8-9BA7-8C2ACD0A61FD}"/>
    <cellStyle name="Normal 2 4 2 4 2 2 2 4" xfId="3286" xr:uid="{7DCF5D29-9D34-4BF7-8BD2-973385339CD1}"/>
    <cellStyle name="Normal 2 4 2 4 2 2 2 5" xfId="2457" xr:uid="{7C8A50F4-E1E0-4666-81EB-6443A4BC83F7}"/>
    <cellStyle name="Normal 2 4 2 4 2 2 2 6" xfId="1628" xr:uid="{318938F4-BA07-4F63-8334-EEC973D502A9}"/>
    <cellStyle name="Normal 2 4 2 4 2 2 3" xfId="3699" xr:uid="{ED61A47B-97FE-46B7-806D-6BA85D12204C}"/>
    <cellStyle name="Normal 2 4 2 4 2 2 3 2" xfId="5928" xr:uid="{AB7E7406-0C9E-4628-908E-30927BD419DA}"/>
    <cellStyle name="Normal 2 4 2 4 2 2 3 2 2" xfId="10146" xr:uid="{4D914A00-9DCC-4627-994F-A0F22E279356}"/>
    <cellStyle name="Normal 2 4 2 4 2 2 3 3" xfId="8001" xr:uid="{C4B101C1-3FF4-41B1-AE7A-C37B1AC9AC7A}"/>
    <cellStyle name="Normal 2 4 2 4 2 2 4" xfId="4112" xr:uid="{833BDEC9-A44A-40D9-8473-6CDB0DAFE802}"/>
    <cellStyle name="Normal 2 4 2 4 2 2 4 2" xfId="6341" xr:uid="{BE9974E4-C420-4FBA-8AF5-135D438FDD35}"/>
    <cellStyle name="Normal 2 4 2 4 2 2 4 2 2" xfId="10559" xr:uid="{13487294-A9A7-442E-8E03-E6063C2B4EC9}"/>
    <cellStyle name="Normal 2 4 2 4 2 2 4 3" xfId="8414" xr:uid="{DC6EACBA-ECF6-433B-8E1B-B4AC2E577C27}"/>
    <cellStyle name="Normal 2 4 2 4 2 2 5" xfId="4525" xr:uid="{873574EE-3D70-4ED3-88A0-390D4065C580}"/>
    <cellStyle name="Normal 2 4 2 4 2 2 5 2" xfId="6754" xr:uid="{B0CFAB58-6383-4675-93B0-A565676BF5ED}"/>
    <cellStyle name="Normal 2 4 2 4 2 2 5 2 2" xfId="10972" xr:uid="{6148E769-9CFA-4B39-ACEE-6C974B4D64C8}"/>
    <cellStyle name="Normal 2 4 2 4 2 2 5 3" xfId="8827" xr:uid="{ACC752DC-7B4E-4A48-9C44-6B29FB1F9207}"/>
    <cellStyle name="Normal 2 4 2 4 2 2 6" xfId="4961" xr:uid="{BDD5DEA9-4584-48BC-AE17-92D5945AA65C}"/>
    <cellStyle name="Normal 2 4 2 4 2 2 6 2" xfId="9240" xr:uid="{D763491A-F175-402F-96A3-6D4465F1E692}"/>
    <cellStyle name="Normal 2 4 2 4 2 2 7" xfId="7174" xr:uid="{BB1B9B28-674E-4BFE-9AC3-9021A95F9BDC}"/>
    <cellStyle name="Normal 2 4 2 4 2 2 8" xfId="2870" xr:uid="{FD3BDD2E-1CCB-4424-84CC-0429CAE6B900}"/>
    <cellStyle name="Normal 2 4 2 4 2 2 9" xfId="2041" xr:uid="{60DF7269-066B-4E49-BAB4-1249E1E813D6}"/>
    <cellStyle name="Normal 2 4 2 4 2 3" xfId="789" xr:uid="{00000000-0005-0000-0000-0000FB010000}"/>
    <cellStyle name="Normal 2 4 2 4 2 3 2" xfId="5514" xr:uid="{6EA7523B-E0F5-4228-80FB-D900B9C52C30}"/>
    <cellStyle name="Normal 2 4 2 4 2 3 2 2" xfId="9732" xr:uid="{F0C704F3-E4F9-45AC-B6DA-80C3474B7244}"/>
    <cellStyle name="Normal 2 4 2 4 2 3 3" xfId="7587" xr:uid="{69E051AA-45D5-4485-9A07-CE7E5530B374}"/>
    <cellStyle name="Normal 2 4 2 4 2 3 4" xfId="3285" xr:uid="{0EDA6EEF-ECCD-4D46-957D-123FDD4609A0}"/>
    <cellStyle name="Normal 2 4 2 4 2 3 5" xfId="2456" xr:uid="{E2AF8C5F-2ACC-461E-B488-7B836D3B89C2}"/>
    <cellStyle name="Normal 2 4 2 4 2 3 6" xfId="1627" xr:uid="{38D0D90E-5D82-45CA-AAB4-13AAB27AB659}"/>
    <cellStyle name="Normal 2 4 2 4 2 4" xfId="3698" xr:uid="{3D5B957F-42A2-446C-ADFD-61FFE03B8DE9}"/>
    <cellStyle name="Normal 2 4 2 4 2 4 2" xfId="5927" xr:uid="{3E479A22-0A94-4C25-8B91-377BC85223B7}"/>
    <cellStyle name="Normal 2 4 2 4 2 4 2 2" xfId="10145" xr:uid="{C3F16065-5D22-44AE-9A10-D645471E8235}"/>
    <cellStyle name="Normal 2 4 2 4 2 4 3" xfId="8000" xr:uid="{83997990-91D8-4A95-98C7-13AC267C2FA2}"/>
    <cellStyle name="Normal 2 4 2 4 2 5" xfId="4111" xr:uid="{25DEB1EE-051F-4CD6-915B-5057EBFFEC72}"/>
    <cellStyle name="Normal 2 4 2 4 2 5 2" xfId="6340" xr:uid="{A1F098F7-93B0-4588-8D31-34818F295809}"/>
    <cellStyle name="Normal 2 4 2 4 2 5 2 2" xfId="10558" xr:uid="{7A23F853-E660-48CE-82F3-E41553C361E7}"/>
    <cellStyle name="Normal 2 4 2 4 2 5 3" xfId="8413" xr:uid="{030EB107-E180-476C-AD93-4178BE89A706}"/>
    <cellStyle name="Normal 2 4 2 4 2 6" xfId="4524" xr:uid="{88F8AFBA-1DBF-415C-9957-1119ABAF7249}"/>
    <cellStyle name="Normal 2 4 2 4 2 6 2" xfId="6753" xr:uid="{BC0D91B3-9D55-40C0-B1FC-6C784FE514E0}"/>
    <cellStyle name="Normal 2 4 2 4 2 6 2 2" xfId="10971" xr:uid="{89A7F1FA-57E7-4329-932E-CFD807BD977C}"/>
    <cellStyle name="Normal 2 4 2 4 2 6 3" xfId="8826" xr:uid="{B88675EE-C12B-4CA8-B40D-B97AC48C79F2}"/>
    <cellStyle name="Normal 2 4 2 4 2 7" xfId="4960" xr:uid="{BD01D390-786D-4C52-93C7-2AEB972F963D}"/>
    <cellStyle name="Normal 2 4 2 4 2 7 2" xfId="9239" xr:uid="{0792C826-FE0D-41AD-BE3E-ECA5E723C952}"/>
    <cellStyle name="Normal 2 4 2 4 2 8" xfId="7173" xr:uid="{63F0ADDA-B0DF-441D-87F0-694CE96D9224}"/>
    <cellStyle name="Normal 2 4 2 4 2 9" xfId="2869" xr:uid="{C3372708-CA60-4CD9-BC0A-0F9B9567EB8F}"/>
    <cellStyle name="Normal 2 4 2 4 3" xfId="295" xr:uid="{00000000-0005-0000-0000-0000FC010000}"/>
    <cellStyle name="Normal 2 4 2 4 3 10" xfId="1213" xr:uid="{E398C97A-6A99-4A30-9831-568708EBA735}"/>
    <cellStyle name="Normal 2 4 2 4 3 2" xfId="791" xr:uid="{00000000-0005-0000-0000-0000FD010000}"/>
    <cellStyle name="Normal 2 4 2 4 3 2 2" xfId="5516" xr:uid="{42CC37F9-0C62-49F5-ADE5-20AD7AF54B8B}"/>
    <cellStyle name="Normal 2 4 2 4 3 2 2 2" xfId="9734" xr:uid="{7EF6F985-CAD9-4466-804E-D0473BFF9CA8}"/>
    <cellStyle name="Normal 2 4 2 4 3 2 3" xfId="7589" xr:uid="{3376CF3B-B0B3-4C96-BB07-E5DD620AB9C6}"/>
    <cellStyle name="Normal 2 4 2 4 3 2 4" xfId="3287" xr:uid="{F788AA93-4B66-4300-9BAA-740EA7E12231}"/>
    <cellStyle name="Normal 2 4 2 4 3 2 5" xfId="2458" xr:uid="{4AE4B41D-4673-4917-B4B8-FAC7E34B0005}"/>
    <cellStyle name="Normal 2 4 2 4 3 2 6" xfId="1629" xr:uid="{07AC068E-29D4-4156-877A-21240D25F5B6}"/>
    <cellStyle name="Normal 2 4 2 4 3 3" xfId="3700" xr:uid="{7EDD67EE-C480-4F3A-B40E-B517829B96E8}"/>
    <cellStyle name="Normal 2 4 2 4 3 3 2" xfId="5929" xr:uid="{8EBD7E18-1745-4654-804A-3CD6FE62D7B7}"/>
    <cellStyle name="Normal 2 4 2 4 3 3 2 2" xfId="10147" xr:uid="{225D237D-7473-46E8-80A8-2E5102AB5022}"/>
    <cellStyle name="Normal 2 4 2 4 3 3 3" xfId="8002" xr:uid="{80AC39A2-E804-4574-AE20-612EFCEC5B27}"/>
    <cellStyle name="Normal 2 4 2 4 3 4" xfId="4113" xr:uid="{05994944-846F-46AD-A248-ECE84855F062}"/>
    <cellStyle name="Normal 2 4 2 4 3 4 2" xfId="6342" xr:uid="{FE3A046C-CD0B-43B2-B288-91AD758D20D8}"/>
    <cellStyle name="Normal 2 4 2 4 3 4 2 2" xfId="10560" xr:uid="{EB38F3E6-FEC7-4C15-8158-04EBAB648377}"/>
    <cellStyle name="Normal 2 4 2 4 3 4 3" xfId="8415" xr:uid="{51D7E26F-2CB9-4F66-8C77-93D4170B1A4C}"/>
    <cellStyle name="Normal 2 4 2 4 3 5" xfId="4526" xr:uid="{24A0E6C4-98B7-46BD-A90D-65981B12A1B1}"/>
    <cellStyle name="Normal 2 4 2 4 3 5 2" xfId="6755" xr:uid="{4DAA3839-5F93-4508-957A-AC4DF55B4F34}"/>
    <cellStyle name="Normal 2 4 2 4 3 5 2 2" xfId="10973" xr:uid="{D40078B4-3028-4E63-B8DA-3B5882414BEF}"/>
    <cellStyle name="Normal 2 4 2 4 3 5 3" xfId="8828" xr:uid="{C9AAFFE6-17C8-4857-9AA1-078C6F346396}"/>
    <cellStyle name="Normal 2 4 2 4 3 6" xfId="4962" xr:uid="{B38A7276-EE46-4CE8-B174-5EC08A8B9C68}"/>
    <cellStyle name="Normal 2 4 2 4 3 6 2" xfId="9241" xr:uid="{06F6CF51-D561-4CF8-B3C6-5E64F076C489}"/>
    <cellStyle name="Normal 2 4 2 4 3 7" xfId="7175" xr:uid="{29EEEE8D-D404-4044-8234-E29DA07D5A0C}"/>
    <cellStyle name="Normal 2 4 2 4 3 8" xfId="2871" xr:uid="{C7C8447C-0B0A-4D1D-857C-706FD01A02AB}"/>
    <cellStyle name="Normal 2 4 2 4 3 9" xfId="2042" xr:uid="{CB899570-2F6D-48E1-A4C2-FAE30EA99F82}"/>
    <cellStyle name="Normal 2 4 2 4 4" xfId="788" xr:uid="{00000000-0005-0000-0000-0000FE010000}"/>
    <cellStyle name="Normal 2 4 2 4 4 2" xfId="5513" xr:uid="{FC78D3DD-C1CE-4D91-8C09-706F95CE5AD5}"/>
    <cellStyle name="Normal 2 4 2 4 4 2 2" xfId="9731" xr:uid="{90E5B037-66A1-425A-9750-8051C7DC9B01}"/>
    <cellStyle name="Normal 2 4 2 4 4 3" xfId="7586" xr:uid="{19EE2740-2F28-43E8-AEA5-3E2646C88BEC}"/>
    <cellStyle name="Normal 2 4 2 4 4 4" xfId="3284" xr:uid="{6B18B1FC-72F1-464E-9E38-02A6BE0D0322}"/>
    <cellStyle name="Normal 2 4 2 4 4 5" xfId="2455" xr:uid="{265728EC-86AF-4068-8A3B-5B52E586A3AB}"/>
    <cellStyle name="Normal 2 4 2 4 4 6" xfId="1626" xr:uid="{AD1DF18A-2383-4C07-B69E-B60AB58A13EB}"/>
    <cellStyle name="Normal 2 4 2 4 5" xfId="3697" xr:uid="{A7C0EF07-3A32-43BB-B303-208E16E0DCFC}"/>
    <cellStyle name="Normal 2 4 2 4 5 2" xfId="5926" xr:uid="{0D18C248-F2F7-4413-BE28-DB2FCF2E2E91}"/>
    <cellStyle name="Normal 2 4 2 4 5 2 2" xfId="10144" xr:uid="{3F776AF0-3062-486F-9087-D2B03343F19E}"/>
    <cellStyle name="Normal 2 4 2 4 5 3" xfId="7999" xr:uid="{BE21CA91-495D-4813-8693-7F541E9F996D}"/>
    <cellStyle name="Normal 2 4 2 4 6" xfId="4110" xr:uid="{84B8C8F7-7B15-4452-9D7C-D3D3F064A25B}"/>
    <cellStyle name="Normal 2 4 2 4 6 2" xfId="6339" xr:uid="{0C5593D3-5CAB-42F0-B9A7-7AF30C6B806C}"/>
    <cellStyle name="Normal 2 4 2 4 6 2 2" xfId="10557" xr:uid="{0D043BCB-1944-4F72-A218-B1038D7871AE}"/>
    <cellStyle name="Normal 2 4 2 4 6 3" xfId="8412" xr:uid="{3F4F1900-048A-48CE-B751-F5047DC08278}"/>
    <cellStyle name="Normal 2 4 2 4 7" xfId="4523" xr:uid="{3DDEA548-95BD-4D28-889B-375F0FE8EE07}"/>
    <cellStyle name="Normal 2 4 2 4 7 2" xfId="6752" xr:uid="{1994DF9A-807A-4A7E-87D9-072347D19951}"/>
    <cellStyle name="Normal 2 4 2 4 7 2 2" xfId="10970" xr:uid="{79FEAE38-8589-4C47-B91B-80EF9FA8FA6C}"/>
    <cellStyle name="Normal 2 4 2 4 7 3" xfId="8825" xr:uid="{A17C7EBE-5994-45C1-854E-4BB08F92FA47}"/>
    <cellStyle name="Normal 2 4 2 4 8" xfId="4959" xr:uid="{77A8F616-EA52-47E1-9DE5-1DDD7FE7C33B}"/>
    <cellStyle name="Normal 2 4 2 4 8 2" xfId="9238" xr:uid="{AEA8C049-5306-4F1A-AFA9-293AFB769F81}"/>
    <cellStyle name="Normal 2 4 2 4 9" xfId="7172" xr:uid="{8AD37685-2923-43A4-A591-686BF31A9F22}"/>
    <cellStyle name="Normal 2 4 2 5" xfId="296" xr:uid="{00000000-0005-0000-0000-0000FF010000}"/>
    <cellStyle name="Normal 2 4 2 5 10" xfId="2043" xr:uid="{ADDAB919-B16B-4EE1-98B0-0E62A090C870}"/>
    <cellStyle name="Normal 2 4 2 5 11" xfId="1214" xr:uid="{21ACC2A0-01B8-4900-935E-7791E0BBFA03}"/>
    <cellStyle name="Normal 2 4 2 5 2" xfId="297" xr:uid="{00000000-0005-0000-0000-000000020000}"/>
    <cellStyle name="Normal 2 4 2 5 2 10" xfId="1215" xr:uid="{D5C336DD-03BC-41CE-8816-DF11B8CEF94F}"/>
    <cellStyle name="Normal 2 4 2 5 2 2" xfId="793" xr:uid="{00000000-0005-0000-0000-000001020000}"/>
    <cellStyle name="Normal 2 4 2 5 2 2 2" xfId="5518" xr:uid="{ABDBB388-AFA8-4774-94D6-D3ADDAC5BB9D}"/>
    <cellStyle name="Normal 2 4 2 5 2 2 2 2" xfId="9736" xr:uid="{6306C874-B9A2-4B9D-8ACF-4E5EE209C9BA}"/>
    <cellStyle name="Normal 2 4 2 5 2 2 3" xfId="7591" xr:uid="{DCDA01CA-939F-468C-BAD0-0267015D29F7}"/>
    <cellStyle name="Normal 2 4 2 5 2 2 4" xfId="3289" xr:uid="{CF33C4EF-C5FE-43B0-A186-5615BD9813D8}"/>
    <cellStyle name="Normal 2 4 2 5 2 2 5" xfId="2460" xr:uid="{750824B5-2D0A-4730-A1B3-245F3CEA5BE3}"/>
    <cellStyle name="Normal 2 4 2 5 2 2 6" xfId="1631" xr:uid="{9A715459-437B-437A-AC51-98FD266AFBAA}"/>
    <cellStyle name="Normal 2 4 2 5 2 3" xfId="3702" xr:uid="{903204DC-F82D-440F-82BF-58E6429A31D7}"/>
    <cellStyle name="Normal 2 4 2 5 2 3 2" xfId="5931" xr:uid="{8B10B5AB-3351-4A20-A09A-D7581306E6D2}"/>
    <cellStyle name="Normal 2 4 2 5 2 3 2 2" xfId="10149" xr:uid="{EF6ABBA2-1C29-44F8-8B11-799527FC421E}"/>
    <cellStyle name="Normal 2 4 2 5 2 3 3" xfId="8004" xr:uid="{B8235A74-6D6B-40F3-B10E-9E75CE69B658}"/>
    <cellStyle name="Normal 2 4 2 5 2 4" xfId="4115" xr:uid="{DEBE4C1D-4E55-4BB5-892F-6AC27037F53D}"/>
    <cellStyle name="Normal 2 4 2 5 2 4 2" xfId="6344" xr:uid="{C2145A28-7E84-4B02-B622-F8DF03D0D0F2}"/>
    <cellStyle name="Normal 2 4 2 5 2 4 2 2" xfId="10562" xr:uid="{AB58F848-AAC5-4F66-8C48-5D465898DAEA}"/>
    <cellStyle name="Normal 2 4 2 5 2 4 3" xfId="8417" xr:uid="{927FBC19-E68B-4BF2-BE57-58246876196E}"/>
    <cellStyle name="Normal 2 4 2 5 2 5" xfId="4528" xr:uid="{164669C5-8AC2-4136-A422-C80B7D4B2E55}"/>
    <cellStyle name="Normal 2 4 2 5 2 5 2" xfId="6757" xr:uid="{8107AA83-FEF4-4489-A818-C3D4618EBD9E}"/>
    <cellStyle name="Normal 2 4 2 5 2 5 2 2" xfId="10975" xr:uid="{D93D5FDF-BE77-4E3A-B27C-573C53F9484A}"/>
    <cellStyle name="Normal 2 4 2 5 2 5 3" xfId="8830" xr:uid="{7FA1ADE5-57CD-4AF5-ABB7-F62D6F85AF81}"/>
    <cellStyle name="Normal 2 4 2 5 2 6" xfId="4964" xr:uid="{EC1A789A-DA99-4BF6-B91A-92D3FBD7B5F6}"/>
    <cellStyle name="Normal 2 4 2 5 2 6 2" xfId="9243" xr:uid="{F70D52CB-C36B-4CCC-8C96-2AB60036BF68}"/>
    <cellStyle name="Normal 2 4 2 5 2 7" xfId="7177" xr:uid="{3DE4F96A-914D-4AEF-B817-FED5DACBDFCC}"/>
    <cellStyle name="Normal 2 4 2 5 2 8" xfId="2873" xr:uid="{212D02C9-465D-4F7E-B23F-CFD4D6A88C49}"/>
    <cellStyle name="Normal 2 4 2 5 2 9" xfId="2044" xr:uid="{A188078D-67F2-418B-941B-7B93F972ABE4}"/>
    <cellStyle name="Normal 2 4 2 5 3" xfId="792" xr:uid="{00000000-0005-0000-0000-000002020000}"/>
    <cellStyle name="Normal 2 4 2 5 3 2" xfId="5517" xr:uid="{6616E735-7AC3-4A48-A1EE-9F3A88F94B20}"/>
    <cellStyle name="Normal 2 4 2 5 3 2 2" xfId="9735" xr:uid="{3C8113E6-B61F-4F92-BBAE-A43E1B4BAB12}"/>
    <cellStyle name="Normal 2 4 2 5 3 3" xfId="7590" xr:uid="{C2D81E99-5A90-4169-BDF3-503466979037}"/>
    <cellStyle name="Normal 2 4 2 5 3 4" xfId="3288" xr:uid="{5B6BA4F6-08A8-4A37-9984-48049E25BA52}"/>
    <cellStyle name="Normal 2 4 2 5 3 5" xfId="2459" xr:uid="{A70795DA-C8CF-45CC-875A-A27496B638E9}"/>
    <cellStyle name="Normal 2 4 2 5 3 6" xfId="1630" xr:uid="{0814580A-77E6-440B-9DAA-20291787E292}"/>
    <cellStyle name="Normal 2 4 2 5 4" xfId="3701" xr:uid="{09E9CE9F-C753-4522-B04C-A2560FC1AB6B}"/>
    <cellStyle name="Normal 2 4 2 5 4 2" xfId="5930" xr:uid="{58818864-CE97-412D-AB4C-6FE88E5C0B1C}"/>
    <cellStyle name="Normal 2 4 2 5 4 2 2" xfId="10148" xr:uid="{569E33EB-EDEE-43BE-BA5C-3E1FDF02E36F}"/>
    <cellStyle name="Normal 2 4 2 5 4 3" xfId="8003" xr:uid="{DD6B8A53-B59D-4D22-BC16-E90D3F7A0B83}"/>
    <cellStyle name="Normal 2 4 2 5 5" xfId="4114" xr:uid="{161B7930-52B0-40D0-8260-640D905C1213}"/>
    <cellStyle name="Normal 2 4 2 5 5 2" xfId="6343" xr:uid="{F553D866-03CB-4215-9A15-EEE3EE72460B}"/>
    <cellStyle name="Normal 2 4 2 5 5 2 2" xfId="10561" xr:uid="{AEFDEA30-7BAE-4768-8341-FCE74F2565C6}"/>
    <cellStyle name="Normal 2 4 2 5 5 3" xfId="8416" xr:uid="{320DCFAE-69BD-4A77-ACC7-55EC238F8716}"/>
    <cellStyle name="Normal 2 4 2 5 6" xfId="4527" xr:uid="{62B238F9-1D83-468F-AC8A-D25D1F755C00}"/>
    <cellStyle name="Normal 2 4 2 5 6 2" xfId="6756" xr:uid="{4CB16537-000E-41DE-B506-A3F6EB7C633D}"/>
    <cellStyle name="Normal 2 4 2 5 6 2 2" xfId="10974" xr:uid="{017F3536-ED04-48FD-B06D-14FBEB41389C}"/>
    <cellStyle name="Normal 2 4 2 5 6 3" xfId="8829" xr:uid="{3AD0F9F9-1683-4229-AC3C-7CCBFC9753D6}"/>
    <cellStyle name="Normal 2 4 2 5 7" xfId="4963" xr:uid="{A1BD47FD-F888-429A-B495-EAFB8547CD1E}"/>
    <cellStyle name="Normal 2 4 2 5 7 2" xfId="9242" xr:uid="{F3283C75-9F47-4BD9-A67B-888374683506}"/>
    <cellStyle name="Normal 2 4 2 5 8" xfId="7176" xr:uid="{2CA57113-B0E5-41CA-B099-864FADE81CB3}"/>
    <cellStyle name="Normal 2 4 2 5 9" xfId="2872" xr:uid="{967CD85D-6342-48C6-BF33-6E9EA93D0634}"/>
    <cellStyle name="Normal 2 4 2 6" xfId="298" xr:uid="{00000000-0005-0000-0000-000003020000}"/>
    <cellStyle name="Normal 2 4 2 6 10" xfId="1216" xr:uid="{497B497E-30FD-41DB-BD41-B492F4EA2A7C}"/>
    <cellStyle name="Normal 2 4 2 6 2" xfId="794" xr:uid="{00000000-0005-0000-0000-000004020000}"/>
    <cellStyle name="Normal 2 4 2 6 2 2" xfId="5519" xr:uid="{BF262EC5-75C5-4F0C-A27F-16608EA81A3B}"/>
    <cellStyle name="Normal 2 4 2 6 2 2 2" xfId="9737" xr:uid="{7B00CC00-057D-48B5-8873-CEC16738877B}"/>
    <cellStyle name="Normal 2 4 2 6 2 3" xfId="7592" xr:uid="{009C3CE0-8EF7-4E2D-87AB-6DE1BF5A9334}"/>
    <cellStyle name="Normal 2 4 2 6 2 4" xfId="3290" xr:uid="{FA2E701D-354A-4E2C-BF0A-87AD6D2A29ED}"/>
    <cellStyle name="Normal 2 4 2 6 2 5" xfId="2461" xr:uid="{405E6ABC-275A-4F0C-99F1-46294DD5C3A3}"/>
    <cellStyle name="Normal 2 4 2 6 2 6" xfId="1632" xr:uid="{5E5C3179-B133-49F7-AB5D-F5D05B9A32E6}"/>
    <cellStyle name="Normal 2 4 2 6 3" xfId="3703" xr:uid="{27758925-17F4-4C76-B9C0-229E1945B216}"/>
    <cellStyle name="Normal 2 4 2 6 3 2" xfId="5932" xr:uid="{97D2AB96-E0EF-4D0A-8359-BE8F5F181643}"/>
    <cellStyle name="Normal 2 4 2 6 3 2 2" xfId="10150" xr:uid="{86D33895-FD5D-47C2-88EA-753B9B20712B}"/>
    <cellStyle name="Normal 2 4 2 6 3 3" xfId="8005" xr:uid="{AD6D71AF-9BAB-47EE-9CA1-8265447E7689}"/>
    <cellStyle name="Normal 2 4 2 6 4" xfId="4116" xr:uid="{22F18856-4819-4285-9F82-6199804E6F87}"/>
    <cellStyle name="Normal 2 4 2 6 4 2" xfId="6345" xr:uid="{1BF65D24-0D14-4932-8EEA-0C99F4186FF3}"/>
    <cellStyle name="Normal 2 4 2 6 4 2 2" xfId="10563" xr:uid="{822F10DB-8887-4C7E-B923-DC22545E31FD}"/>
    <cellStyle name="Normal 2 4 2 6 4 3" xfId="8418" xr:uid="{0D31CFB7-5C4D-49F7-99A2-6E3ACB00DAE3}"/>
    <cellStyle name="Normal 2 4 2 6 5" xfId="4529" xr:uid="{F9F24437-2A44-435D-9FE7-3F5010A349E7}"/>
    <cellStyle name="Normal 2 4 2 6 5 2" xfId="6758" xr:uid="{9B557652-07C6-49DD-AF14-516D56E886A2}"/>
    <cellStyle name="Normal 2 4 2 6 5 2 2" xfId="10976" xr:uid="{83E13AA0-8126-4330-89BA-A231A2B85C76}"/>
    <cellStyle name="Normal 2 4 2 6 5 3" xfId="8831" xr:uid="{2A9A773C-AFB0-40E0-8B9D-5FA4A29B560A}"/>
    <cellStyle name="Normal 2 4 2 6 6" xfId="4965" xr:uid="{CAC36051-811F-40E0-8EE9-547CA12AD0C6}"/>
    <cellStyle name="Normal 2 4 2 6 6 2" xfId="9244" xr:uid="{45B0EF78-0FFA-42D2-BDBD-3B941CD74EC7}"/>
    <cellStyle name="Normal 2 4 2 6 7" xfId="7178" xr:uid="{0F38BF67-F19B-4DC3-8786-CA62A0FC28D8}"/>
    <cellStyle name="Normal 2 4 2 6 8" xfId="2874" xr:uid="{2A3A3A58-69BE-42C5-91B7-E01A2EB368BD}"/>
    <cellStyle name="Normal 2 4 2 6 9" xfId="2045" xr:uid="{1F9ECA28-5D85-4F31-8E8C-20038705F845}"/>
    <cellStyle name="Normal 2 4 2 7" xfId="779" xr:uid="{00000000-0005-0000-0000-000005020000}"/>
    <cellStyle name="Normal 2 4 2 7 2" xfId="5504" xr:uid="{2054C73F-6D77-4CB7-9FE7-0873F3A72902}"/>
    <cellStyle name="Normal 2 4 2 7 2 2" xfId="9722" xr:uid="{6B0A7744-4A94-45D6-A6CE-294629979A2E}"/>
    <cellStyle name="Normal 2 4 2 7 3" xfId="7577" xr:uid="{9F7C6039-3529-474E-81F8-D07C92AB0936}"/>
    <cellStyle name="Normal 2 4 2 7 4" xfId="3275" xr:uid="{0798902B-1F9B-44A3-8B2B-F517B0BE30BD}"/>
    <cellStyle name="Normal 2 4 2 7 5" xfId="2446" xr:uid="{3C13A8B9-3C44-49D7-83AD-75E2B8AB190D}"/>
    <cellStyle name="Normal 2 4 2 7 6" xfId="1617" xr:uid="{0121F379-6330-42C9-8D78-6FECD8B8AE42}"/>
    <cellStyle name="Normal 2 4 2 8" xfId="3688" xr:uid="{A7A3D77E-715C-473A-B5D7-CAE152FB8A7B}"/>
    <cellStyle name="Normal 2 4 2 8 2" xfId="5917" xr:uid="{22870186-3A3C-469A-BA6F-015763763DFF}"/>
    <cellStyle name="Normal 2 4 2 8 2 2" xfId="10135" xr:uid="{8CA7F1A8-DF20-4B83-8F3A-524F7F1DD541}"/>
    <cellStyle name="Normal 2 4 2 8 3" xfId="7990" xr:uid="{133BFD80-A627-4AFA-8536-D8F5788F846D}"/>
    <cellStyle name="Normal 2 4 2 9" xfId="4101" xr:uid="{6986D9B3-688E-41F5-B034-4D69D4F7C06D}"/>
    <cellStyle name="Normal 2 4 2 9 2" xfId="6330" xr:uid="{8708F650-99A2-4FE9-B57A-67962274F7EF}"/>
    <cellStyle name="Normal 2 4 2 9 2 2" xfId="10548" xr:uid="{A4774524-919E-48EF-B759-3F9047982F50}"/>
    <cellStyle name="Normal 2 4 2 9 3" xfId="8403" xr:uid="{437E7C3B-5F2F-44CE-A9FB-7C5A4A7A1A85}"/>
    <cellStyle name="Normal 2 4 3" xfId="299" xr:uid="{00000000-0005-0000-0000-000006020000}"/>
    <cellStyle name="Normal 2 4 3 10" xfId="2875" xr:uid="{161A8708-4DE6-40E7-A9A4-D9DA9B4FD947}"/>
    <cellStyle name="Normal 2 4 3 11" xfId="2046" xr:uid="{B7BF1899-0E0B-47AB-BC1F-39EA57D888B4}"/>
    <cellStyle name="Normal 2 4 3 12" xfId="1217" xr:uid="{3D9630FF-03F4-44DF-9BC4-0747BD1B0FD9}"/>
    <cellStyle name="Normal 2 4 3 2" xfId="300" xr:uid="{00000000-0005-0000-0000-000007020000}"/>
    <cellStyle name="Normal 2 4 3 3" xfId="301" xr:uid="{00000000-0005-0000-0000-000008020000}"/>
    <cellStyle name="Normal 2 4 3 3 10" xfId="2876" xr:uid="{BA5B4D77-C52F-4268-B84F-EED741357829}"/>
    <cellStyle name="Normal 2 4 3 3 11" xfId="2047" xr:uid="{14BF6797-1A5A-49C2-B537-84FF118FA58F}"/>
    <cellStyle name="Normal 2 4 3 3 12" xfId="1218" xr:uid="{CF20448E-ED28-48DD-ADFC-63ADF3247ABD}"/>
    <cellStyle name="Normal 2 4 3 3 2" xfId="302" xr:uid="{00000000-0005-0000-0000-000009020000}"/>
    <cellStyle name="Normal 2 4 3 3 2 10" xfId="2048" xr:uid="{186F4DAD-2056-4161-884E-7E18E5F6A863}"/>
    <cellStyle name="Normal 2 4 3 3 2 11" xfId="1219" xr:uid="{9D9944B9-8694-41D1-8C93-66F4B0E028E0}"/>
    <cellStyle name="Normal 2 4 3 3 2 2" xfId="303" xr:uid="{00000000-0005-0000-0000-00000A020000}"/>
    <cellStyle name="Normal 2 4 3 3 2 2 10" xfId="1220" xr:uid="{57F581EC-0E00-45F2-84CC-EFB714CA2043}"/>
    <cellStyle name="Normal 2 4 3 3 2 2 2" xfId="798" xr:uid="{00000000-0005-0000-0000-00000B020000}"/>
    <cellStyle name="Normal 2 4 3 3 2 2 2 2" xfId="5523" xr:uid="{ACA04640-835F-44CC-AA46-C672ED620371}"/>
    <cellStyle name="Normal 2 4 3 3 2 2 2 2 2" xfId="9741" xr:uid="{36F134FF-30E7-44A9-A297-2CBAE6572D94}"/>
    <cellStyle name="Normal 2 4 3 3 2 2 2 3" xfId="7596" xr:uid="{658EC834-B47D-4A2C-8AAD-7EC8FD104BE8}"/>
    <cellStyle name="Normal 2 4 3 3 2 2 2 4" xfId="3294" xr:uid="{3272D2AF-90C2-4D71-8272-9300A080F31C}"/>
    <cellStyle name="Normal 2 4 3 3 2 2 2 5" xfId="2465" xr:uid="{ADA1F715-53CF-4CC6-9CA6-66283218643E}"/>
    <cellStyle name="Normal 2 4 3 3 2 2 2 6" xfId="1636" xr:uid="{6E362548-B6BC-4013-B6A2-D5F2F96A1435}"/>
    <cellStyle name="Normal 2 4 3 3 2 2 3" xfId="3707" xr:uid="{B082F270-067A-4EC3-9A42-4B5250400638}"/>
    <cellStyle name="Normal 2 4 3 3 2 2 3 2" xfId="5936" xr:uid="{5D2090FE-C674-4311-BD35-0B3E43F5D113}"/>
    <cellStyle name="Normal 2 4 3 3 2 2 3 2 2" xfId="10154" xr:uid="{48E2C7FA-3D19-4D4E-9856-70D8DCBF479A}"/>
    <cellStyle name="Normal 2 4 3 3 2 2 3 3" xfId="8009" xr:uid="{C1BF55B8-B760-4596-A3CD-1F63D66DA09F}"/>
    <cellStyle name="Normal 2 4 3 3 2 2 4" xfId="4120" xr:uid="{AA5DAB1D-5469-48B3-87ED-3FE01F6F5081}"/>
    <cellStyle name="Normal 2 4 3 3 2 2 4 2" xfId="6349" xr:uid="{D91B4F5D-94DE-4EC5-9137-8B3641B47633}"/>
    <cellStyle name="Normal 2 4 3 3 2 2 4 2 2" xfId="10567" xr:uid="{DECCA2BF-11A8-4BDC-9A8E-4253EC00D878}"/>
    <cellStyle name="Normal 2 4 3 3 2 2 4 3" xfId="8422" xr:uid="{F08926F5-1799-4E3E-B00B-AC0F06CC8A44}"/>
    <cellStyle name="Normal 2 4 3 3 2 2 5" xfId="4533" xr:uid="{F76DCDAC-8DA1-4A50-AEA4-763B493FF30E}"/>
    <cellStyle name="Normal 2 4 3 3 2 2 5 2" xfId="6762" xr:uid="{3EEC216A-7703-4B16-B2FC-9B64E434C47E}"/>
    <cellStyle name="Normal 2 4 3 3 2 2 5 2 2" xfId="10980" xr:uid="{34ABD9D0-7C73-498B-812E-A8A6DBE1EEF0}"/>
    <cellStyle name="Normal 2 4 3 3 2 2 5 3" xfId="8835" xr:uid="{798172A5-FCFF-4EDF-A4B4-BDD51222F343}"/>
    <cellStyle name="Normal 2 4 3 3 2 2 6" xfId="4969" xr:uid="{C3B3839E-8FA4-4881-AA49-C73916679FE6}"/>
    <cellStyle name="Normal 2 4 3 3 2 2 6 2" xfId="9248" xr:uid="{1BF1DFE3-8C12-4DDD-8137-6C6C01E20F5D}"/>
    <cellStyle name="Normal 2 4 3 3 2 2 7" xfId="7182" xr:uid="{59E4084C-2091-428A-BAA3-29F9282A2F0F}"/>
    <cellStyle name="Normal 2 4 3 3 2 2 8" xfId="2878" xr:uid="{99B2595D-3B8C-475F-A07A-CCDAC0C6C51B}"/>
    <cellStyle name="Normal 2 4 3 3 2 2 9" xfId="2049" xr:uid="{7BB45A85-3A2C-4BAA-B17B-B4D5FA44E075}"/>
    <cellStyle name="Normal 2 4 3 3 2 3" xfId="797" xr:uid="{00000000-0005-0000-0000-00000C020000}"/>
    <cellStyle name="Normal 2 4 3 3 2 3 2" xfId="5522" xr:uid="{8AA980FA-84F9-4BDB-8C61-474F3C7413A9}"/>
    <cellStyle name="Normal 2 4 3 3 2 3 2 2" xfId="9740" xr:uid="{9CFC7B45-B778-41A8-93A7-7EC28F98B22F}"/>
    <cellStyle name="Normal 2 4 3 3 2 3 3" xfId="7595" xr:uid="{70F5B78D-1886-4BB5-B7D5-5B322D52E569}"/>
    <cellStyle name="Normal 2 4 3 3 2 3 4" xfId="3293" xr:uid="{94777EE3-3CA8-4A80-B21D-6E216EC2C2A7}"/>
    <cellStyle name="Normal 2 4 3 3 2 3 5" xfId="2464" xr:uid="{3918113D-C0EA-4B57-B43D-D11D73C0D188}"/>
    <cellStyle name="Normal 2 4 3 3 2 3 6" xfId="1635" xr:uid="{876278CD-F4EC-4286-92C0-231F080BA118}"/>
    <cellStyle name="Normal 2 4 3 3 2 4" xfId="3706" xr:uid="{1040DEE1-826D-47A6-B779-F52163047D54}"/>
    <cellStyle name="Normal 2 4 3 3 2 4 2" xfId="5935" xr:uid="{5D1E14F1-EB1A-41E4-86B7-8CCA2F8AEDD5}"/>
    <cellStyle name="Normal 2 4 3 3 2 4 2 2" xfId="10153" xr:uid="{8AB3EF9D-EED3-4E8A-9EE2-E26331FD79AE}"/>
    <cellStyle name="Normal 2 4 3 3 2 4 3" xfId="8008" xr:uid="{ED5C115B-87E0-493B-88F5-8A22D7BA0941}"/>
    <cellStyle name="Normal 2 4 3 3 2 5" xfId="4119" xr:uid="{59F27A14-2097-4E3B-8817-812958FBD54B}"/>
    <cellStyle name="Normal 2 4 3 3 2 5 2" xfId="6348" xr:uid="{E28FBF9D-6A0C-465F-851B-5483AB66DC63}"/>
    <cellStyle name="Normal 2 4 3 3 2 5 2 2" xfId="10566" xr:uid="{13930BDA-CCD6-4D4A-8BBD-6B8117DE5F55}"/>
    <cellStyle name="Normal 2 4 3 3 2 5 3" xfId="8421" xr:uid="{1FF1B7CA-9EA7-4A62-94EB-213BCBF405F2}"/>
    <cellStyle name="Normal 2 4 3 3 2 6" xfId="4532" xr:uid="{3B842E7D-8B41-442E-B553-FC374C8ECEBF}"/>
    <cellStyle name="Normal 2 4 3 3 2 6 2" xfId="6761" xr:uid="{B5E01B88-C375-4FA2-AFEA-7EC6939E246A}"/>
    <cellStyle name="Normal 2 4 3 3 2 6 2 2" xfId="10979" xr:uid="{00193293-C905-4BDE-ACB2-6231CA10959C}"/>
    <cellStyle name="Normal 2 4 3 3 2 6 3" xfId="8834" xr:uid="{DBAED424-5DBF-476D-80D5-4985D55F0CAE}"/>
    <cellStyle name="Normal 2 4 3 3 2 7" xfId="4968" xr:uid="{D7992CD2-FDA7-4D63-B194-B5FD152E5374}"/>
    <cellStyle name="Normal 2 4 3 3 2 7 2" xfId="9247" xr:uid="{41152297-A7E5-4CA4-A63F-046D58C13CCD}"/>
    <cellStyle name="Normal 2 4 3 3 2 8" xfId="7181" xr:uid="{00A51AF4-6FAB-4C99-96BE-04E34601C226}"/>
    <cellStyle name="Normal 2 4 3 3 2 9" xfId="2877" xr:uid="{3967D745-F217-4087-859F-843926CA061A}"/>
    <cellStyle name="Normal 2 4 3 3 3" xfId="304" xr:uid="{00000000-0005-0000-0000-00000D020000}"/>
    <cellStyle name="Normal 2 4 3 3 3 10" xfId="1221" xr:uid="{F2540E67-BCE7-436F-BAB8-978F1E653A75}"/>
    <cellStyle name="Normal 2 4 3 3 3 2" xfId="799" xr:uid="{00000000-0005-0000-0000-00000E020000}"/>
    <cellStyle name="Normal 2 4 3 3 3 2 2" xfId="5524" xr:uid="{0E16B3B6-6B30-478C-AC3E-A4766D5AA109}"/>
    <cellStyle name="Normal 2 4 3 3 3 2 2 2" xfId="9742" xr:uid="{8A2D226C-A623-41FD-88DC-44E35E80686F}"/>
    <cellStyle name="Normal 2 4 3 3 3 2 3" xfId="7597" xr:uid="{1414D530-8A2C-4552-9E6E-B2AED6F8F870}"/>
    <cellStyle name="Normal 2 4 3 3 3 2 4" xfId="3295" xr:uid="{AD9773E3-4428-455A-AC52-A849EB0EEFDE}"/>
    <cellStyle name="Normal 2 4 3 3 3 2 5" xfId="2466" xr:uid="{F07E6FD3-5D4A-4C9D-9845-45F00447CAF9}"/>
    <cellStyle name="Normal 2 4 3 3 3 2 6" xfId="1637" xr:uid="{9B7F59C9-7B8A-44E1-A31C-50A2C9ADE6DF}"/>
    <cellStyle name="Normal 2 4 3 3 3 3" xfId="3708" xr:uid="{012484E1-437A-4ED6-9AC4-ABB6697F2803}"/>
    <cellStyle name="Normal 2 4 3 3 3 3 2" xfId="5937" xr:uid="{5A230C34-C3BD-403B-9ACC-69D0372FAFEA}"/>
    <cellStyle name="Normal 2 4 3 3 3 3 2 2" xfId="10155" xr:uid="{21AE5967-67AA-4252-BE1A-EC15BB62F651}"/>
    <cellStyle name="Normal 2 4 3 3 3 3 3" xfId="8010" xr:uid="{5BA071F5-5E5D-4267-99F3-20CDE20D8807}"/>
    <cellStyle name="Normal 2 4 3 3 3 4" xfId="4121" xr:uid="{7E98BF0D-FB3A-4203-816C-39B6455FB71D}"/>
    <cellStyle name="Normal 2 4 3 3 3 4 2" xfId="6350" xr:uid="{88BD1980-A285-416F-87D3-46480633C86F}"/>
    <cellStyle name="Normal 2 4 3 3 3 4 2 2" xfId="10568" xr:uid="{FE7940DB-E9AB-4ED2-B7A0-A6C49E1D6C60}"/>
    <cellStyle name="Normal 2 4 3 3 3 4 3" xfId="8423" xr:uid="{84C340AF-CF79-434F-BD3D-0E7FFC9FCFEC}"/>
    <cellStyle name="Normal 2 4 3 3 3 5" xfId="4534" xr:uid="{798DDCA2-3811-45A8-8CF6-CFD00E6786D4}"/>
    <cellStyle name="Normal 2 4 3 3 3 5 2" xfId="6763" xr:uid="{385CA030-E00F-4035-A377-02DC249BA6B5}"/>
    <cellStyle name="Normal 2 4 3 3 3 5 2 2" xfId="10981" xr:uid="{1D47814F-5962-49B2-B4CA-8379F36851E3}"/>
    <cellStyle name="Normal 2 4 3 3 3 5 3" xfId="8836" xr:uid="{5A4E907C-1310-41C7-9F8B-17D5D86485C8}"/>
    <cellStyle name="Normal 2 4 3 3 3 6" xfId="4970" xr:uid="{118363F0-30B5-4398-A5DF-6A4B85D6150B}"/>
    <cellStyle name="Normal 2 4 3 3 3 6 2" xfId="9249" xr:uid="{51CEFAD7-D2A0-4B7E-8F4D-C0DDEBAEF6A0}"/>
    <cellStyle name="Normal 2 4 3 3 3 7" xfId="7183" xr:uid="{9514FF6B-9845-4E71-8A71-12E0310B40AC}"/>
    <cellStyle name="Normal 2 4 3 3 3 8" xfId="2879" xr:uid="{FE8C56B5-C17C-4C00-BD2A-6F10670926C7}"/>
    <cellStyle name="Normal 2 4 3 3 3 9" xfId="2050" xr:uid="{5BD19233-E254-40CC-9036-0E9714A154B7}"/>
    <cellStyle name="Normal 2 4 3 3 4" xfId="796" xr:uid="{00000000-0005-0000-0000-00000F020000}"/>
    <cellStyle name="Normal 2 4 3 3 4 2" xfId="5521" xr:uid="{2A219058-98BE-4A28-8F66-2A592FB12DD8}"/>
    <cellStyle name="Normal 2 4 3 3 4 2 2" xfId="9739" xr:uid="{6C4775AA-293B-4F28-B6E4-E7E37B2E1B47}"/>
    <cellStyle name="Normal 2 4 3 3 4 3" xfId="7594" xr:uid="{638F8770-23F0-4B30-BF7C-3C9F8E3EE233}"/>
    <cellStyle name="Normal 2 4 3 3 4 4" xfId="3292" xr:uid="{DE2B8EE1-5426-4554-B413-44CA1CE6C74B}"/>
    <cellStyle name="Normal 2 4 3 3 4 5" xfId="2463" xr:uid="{4B1731A4-0B44-4CF6-990B-A5976DD46D89}"/>
    <cellStyle name="Normal 2 4 3 3 4 6" xfId="1634" xr:uid="{D9F14E2B-E618-4E7A-B1C6-C542AC7DD396}"/>
    <cellStyle name="Normal 2 4 3 3 5" xfId="3705" xr:uid="{AECFBD31-F44A-4B03-B464-3A133B3AF698}"/>
    <cellStyle name="Normal 2 4 3 3 5 2" xfId="5934" xr:uid="{C52FEDF0-ABC6-4945-843E-E7F96AE37C40}"/>
    <cellStyle name="Normal 2 4 3 3 5 2 2" xfId="10152" xr:uid="{4D044802-125D-454C-BB97-27B3F5EA7CE0}"/>
    <cellStyle name="Normal 2 4 3 3 5 3" xfId="8007" xr:uid="{948AFE21-6C53-4A9C-9392-E05CC5412A13}"/>
    <cellStyle name="Normal 2 4 3 3 6" xfId="4118" xr:uid="{DA11CC41-16C9-4B82-AB6A-A5FBE75F03C0}"/>
    <cellStyle name="Normal 2 4 3 3 6 2" xfId="6347" xr:uid="{356948FF-3AF0-4B63-90B7-A6B81272DB44}"/>
    <cellStyle name="Normal 2 4 3 3 6 2 2" xfId="10565" xr:uid="{8CA10512-72BB-40A9-B74C-07BA5404CB7F}"/>
    <cellStyle name="Normal 2 4 3 3 6 3" xfId="8420" xr:uid="{0C8B586C-82C0-4354-A685-14A0315470F3}"/>
    <cellStyle name="Normal 2 4 3 3 7" xfId="4531" xr:uid="{E8F23AF8-2705-4414-A990-0C1D3817AEAC}"/>
    <cellStyle name="Normal 2 4 3 3 7 2" xfId="6760" xr:uid="{E3A86893-7606-4B47-BD17-9B8D80CC5567}"/>
    <cellStyle name="Normal 2 4 3 3 7 2 2" xfId="10978" xr:uid="{C0D0DF40-699F-4D3B-A97F-B1512E491B0A}"/>
    <cellStyle name="Normal 2 4 3 3 7 3" xfId="8833" xr:uid="{2C980288-FC03-48B8-B0B2-D3212AC71CF3}"/>
    <cellStyle name="Normal 2 4 3 3 8" xfId="4967" xr:uid="{0ED8CEE6-2A7D-4104-ACFB-097F397DBFBB}"/>
    <cellStyle name="Normal 2 4 3 3 8 2" xfId="9246" xr:uid="{DBB88298-1393-4294-977D-B85C0F1DDDCC}"/>
    <cellStyle name="Normal 2 4 3 3 9" xfId="7180" xr:uid="{87F69984-03DB-4AF6-ABB1-349E2860539A}"/>
    <cellStyle name="Normal 2 4 3 4" xfId="795" xr:uid="{00000000-0005-0000-0000-000010020000}"/>
    <cellStyle name="Normal 2 4 3 4 2" xfId="5520" xr:uid="{FACC0415-AB1B-4920-ADF6-C8BCBA469C6A}"/>
    <cellStyle name="Normal 2 4 3 4 2 2" xfId="9738" xr:uid="{AEDE9DA6-A1F1-4249-98E3-0305339E5339}"/>
    <cellStyle name="Normal 2 4 3 4 3" xfId="7593" xr:uid="{6B1CDF8E-4E2B-49E6-8095-039924462E0C}"/>
    <cellStyle name="Normal 2 4 3 4 4" xfId="3291" xr:uid="{56EB6C5C-8B30-48EC-A73D-9C26D1FF974B}"/>
    <cellStyle name="Normal 2 4 3 4 5" xfId="2462" xr:uid="{3C4C0FC2-C78E-4AAA-84C9-08E50193EE46}"/>
    <cellStyle name="Normal 2 4 3 4 6" xfId="1633" xr:uid="{54BD1FDC-9DF4-4F8A-ACED-D9E6B4B0C8FD}"/>
    <cellStyle name="Normal 2 4 3 5" xfId="3704" xr:uid="{9B6F48A5-0DAC-418B-AB87-3DDE12EF3821}"/>
    <cellStyle name="Normal 2 4 3 5 2" xfId="5933" xr:uid="{3F817276-8F46-4D2A-9D88-CAA7A14F6292}"/>
    <cellStyle name="Normal 2 4 3 5 2 2" xfId="10151" xr:uid="{2EAF0C09-8EB4-406E-A4ED-D36C22E2C2CB}"/>
    <cellStyle name="Normal 2 4 3 5 3" xfId="8006" xr:uid="{B0EA8BBD-9597-4BF1-91D4-B54041A2A53B}"/>
    <cellStyle name="Normal 2 4 3 6" xfId="4117" xr:uid="{06140A80-5FB2-4B26-A9AE-D31AD8D24E91}"/>
    <cellStyle name="Normal 2 4 3 6 2" xfId="6346" xr:uid="{5A6E32B4-F16B-4073-842A-97325C903250}"/>
    <cellStyle name="Normal 2 4 3 6 2 2" xfId="10564" xr:uid="{FBEE38DF-07A6-4456-BBD7-052B875CABC5}"/>
    <cellStyle name="Normal 2 4 3 6 3" xfId="8419" xr:uid="{08EF8A15-48DD-472A-9F9B-BC07041087AE}"/>
    <cellStyle name="Normal 2 4 3 7" xfId="4530" xr:uid="{01260127-CE0F-4436-8DC0-ECF11E557523}"/>
    <cellStyle name="Normal 2 4 3 7 2" xfId="6759" xr:uid="{D5530EEE-5990-4E16-A26B-37BF5EB9F71A}"/>
    <cellStyle name="Normal 2 4 3 7 2 2" xfId="10977" xr:uid="{7879367D-0539-4C0D-8EE6-88866A4B6C39}"/>
    <cellStyle name="Normal 2 4 3 7 3" xfId="8832" xr:uid="{8E6EFB09-221D-48C1-81C6-4B2E23982AFC}"/>
    <cellStyle name="Normal 2 4 3 8" xfId="4966" xr:uid="{6F85A4C8-4031-40B0-8AE4-0AFB50EDC209}"/>
    <cellStyle name="Normal 2 4 3 8 2" xfId="9245" xr:uid="{A1EACBC8-B72D-4F4B-92BE-615CFAB05615}"/>
    <cellStyle name="Normal 2 4 3 9" xfId="7179" xr:uid="{B70227DC-238E-425D-8A13-B7B08BF9DFD2}"/>
    <cellStyle name="Normal 2 4 4" xfId="305" xr:uid="{00000000-0005-0000-0000-000011020000}"/>
    <cellStyle name="Normal 2 4 5" xfId="306" xr:uid="{00000000-0005-0000-0000-000012020000}"/>
    <cellStyle name="Normal 2 4 5 10" xfId="7184" xr:uid="{EB06850F-A6F6-4840-906B-4329850976EE}"/>
    <cellStyle name="Normal 2 4 5 11" xfId="2880" xr:uid="{1EE85087-2AE8-4424-BAF0-72FAAFB8B7DA}"/>
    <cellStyle name="Normal 2 4 5 12" xfId="2051" xr:uid="{042B609A-CE25-494B-808F-3551A7047E4E}"/>
    <cellStyle name="Normal 2 4 5 13" xfId="1222" xr:uid="{B350C13E-5D70-41DB-808A-9BB3BA78CAEC}"/>
    <cellStyle name="Normal 2 4 5 2" xfId="307" xr:uid="{00000000-0005-0000-0000-000013020000}"/>
    <cellStyle name="Normal 2 4 5 2 10" xfId="2881" xr:uid="{D467A438-E463-4961-A6C7-299BE683AEB4}"/>
    <cellStyle name="Normal 2 4 5 2 11" xfId="2052" xr:uid="{38012A51-201E-4CEC-94BB-49E70AACDFC0}"/>
    <cellStyle name="Normal 2 4 5 2 12" xfId="1223" xr:uid="{F6873714-1AE8-4966-B8E3-F15AC3B05322}"/>
    <cellStyle name="Normal 2 4 5 2 2" xfId="308" xr:uid="{00000000-0005-0000-0000-000014020000}"/>
    <cellStyle name="Normal 2 4 5 2 2 10" xfId="2053" xr:uid="{AD18475D-4E7E-4684-894A-750144100806}"/>
    <cellStyle name="Normal 2 4 5 2 2 11" xfId="1224" xr:uid="{8B25AE7F-53E5-4D92-A894-EBEFB9BDFA3A}"/>
    <cellStyle name="Normal 2 4 5 2 2 2" xfId="309" xr:uid="{00000000-0005-0000-0000-000015020000}"/>
    <cellStyle name="Normal 2 4 5 2 2 2 10" xfId="1225" xr:uid="{C9F1C478-76D8-44BB-86AC-F000F165BAC0}"/>
    <cellStyle name="Normal 2 4 5 2 2 2 2" xfId="803" xr:uid="{00000000-0005-0000-0000-000016020000}"/>
    <cellStyle name="Normal 2 4 5 2 2 2 2 2" xfId="5528" xr:uid="{9928C4DE-E0AB-43AC-8C45-56AA6B09467B}"/>
    <cellStyle name="Normal 2 4 5 2 2 2 2 2 2" xfId="9746" xr:uid="{96914063-043F-4701-92D5-C630520A807D}"/>
    <cellStyle name="Normal 2 4 5 2 2 2 2 3" xfId="7601" xr:uid="{62CFE770-368F-45B1-B515-8BF58A4CEE28}"/>
    <cellStyle name="Normal 2 4 5 2 2 2 2 4" xfId="3299" xr:uid="{AE345969-1916-4D25-A75C-1C2C12D9248B}"/>
    <cellStyle name="Normal 2 4 5 2 2 2 2 5" xfId="2470" xr:uid="{1C1DA1CE-E796-477C-B92D-042025D1945D}"/>
    <cellStyle name="Normal 2 4 5 2 2 2 2 6" xfId="1641" xr:uid="{DC876645-0875-41CB-8B2E-8561BA336BE1}"/>
    <cellStyle name="Normal 2 4 5 2 2 2 3" xfId="3712" xr:uid="{1719288D-CE6E-4E7F-B29C-1CA28D1E1E3D}"/>
    <cellStyle name="Normal 2 4 5 2 2 2 3 2" xfId="5941" xr:uid="{0DD46967-FC9E-4B99-907E-D1892824552B}"/>
    <cellStyle name="Normal 2 4 5 2 2 2 3 2 2" xfId="10159" xr:uid="{D4AE7CDF-85A6-4C16-82E5-3658C2CA5833}"/>
    <cellStyle name="Normal 2 4 5 2 2 2 3 3" xfId="8014" xr:uid="{DF6D0337-862D-4D0A-B330-F5580EF9665F}"/>
    <cellStyle name="Normal 2 4 5 2 2 2 4" xfId="4125" xr:uid="{D8E183FF-099F-46D5-9300-DB4305198DE8}"/>
    <cellStyle name="Normal 2 4 5 2 2 2 4 2" xfId="6354" xr:uid="{AF38EC54-103C-461E-BB5A-C8A40ECAF841}"/>
    <cellStyle name="Normal 2 4 5 2 2 2 4 2 2" xfId="10572" xr:uid="{7BE63FBE-CBC6-4115-883E-4735C809F2F0}"/>
    <cellStyle name="Normal 2 4 5 2 2 2 4 3" xfId="8427" xr:uid="{EECE1E17-D755-44FE-B1EC-A2146CDC031B}"/>
    <cellStyle name="Normal 2 4 5 2 2 2 5" xfId="4538" xr:uid="{35A004C5-870F-4F5E-8893-199AF8A0B398}"/>
    <cellStyle name="Normal 2 4 5 2 2 2 5 2" xfId="6767" xr:uid="{F8C5C906-6547-4FA3-9FF0-5C2256CA0BE5}"/>
    <cellStyle name="Normal 2 4 5 2 2 2 5 2 2" xfId="10985" xr:uid="{60222B7D-308B-4B64-A71F-1C4212CA881F}"/>
    <cellStyle name="Normal 2 4 5 2 2 2 5 3" xfId="8840" xr:uid="{3E9221D4-3811-450D-9446-97A2A340AABC}"/>
    <cellStyle name="Normal 2 4 5 2 2 2 6" xfId="4974" xr:uid="{1FFFFCCA-1C3B-485C-8980-36427F4EAF1D}"/>
    <cellStyle name="Normal 2 4 5 2 2 2 6 2" xfId="9253" xr:uid="{4F6C4663-F679-4A10-AD82-0C9FFC5C0441}"/>
    <cellStyle name="Normal 2 4 5 2 2 2 7" xfId="7187" xr:uid="{DDE1A31C-CA97-4B5B-AA30-5BF2A3455D02}"/>
    <cellStyle name="Normal 2 4 5 2 2 2 8" xfId="2883" xr:uid="{432BC35F-4326-48D9-88F7-A0B03A2549A0}"/>
    <cellStyle name="Normal 2 4 5 2 2 2 9" xfId="2054" xr:uid="{A0B141B5-5CCB-4DA6-B534-A4EA04DEB527}"/>
    <cellStyle name="Normal 2 4 5 2 2 3" xfId="802" xr:uid="{00000000-0005-0000-0000-000017020000}"/>
    <cellStyle name="Normal 2 4 5 2 2 3 2" xfId="5527" xr:uid="{32E2F095-365D-44A7-B692-AB47619BD2EC}"/>
    <cellStyle name="Normal 2 4 5 2 2 3 2 2" xfId="9745" xr:uid="{3A9F39C9-67F5-4F13-A312-A3750A9AC9D3}"/>
    <cellStyle name="Normal 2 4 5 2 2 3 3" xfId="7600" xr:uid="{29C660C6-E9DE-407D-933D-BD4F2E56A9AE}"/>
    <cellStyle name="Normal 2 4 5 2 2 3 4" xfId="3298" xr:uid="{6A83E752-E381-4B57-9DB3-D1A9409C22F9}"/>
    <cellStyle name="Normal 2 4 5 2 2 3 5" xfId="2469" xr:uid="{EA16F9E7-824C-4F4E-A115-AA3DF9C4DDE0}"/>
    <cellStyle name="Normal 2 4 5 2 2 3 6" xfId="1640" xr:uid="{02FA5C1B-CE1C-4933-974C-13A06A1DD967}"/>
    <cellStyle name="Normal 2 4 5 2 2 4" xfId="3711" xr:uid="{120286FB-DE13-4D56-B819-74FB53686546}"/>
    <cellStyle name="Normal 2 4 5 2 2 4 2" xfId="5940" xr:uid="{B3F336CD-CE0E-4974-8864-3874D6CB34DE}"/>
    <cellStyle name="Normal 2 4 5 2 2 4 2 2" xfId="10158" xr:uid="{60A29595-17FC-462F-AB27-4F53E4F3E9A5}"/>
    <cellStyle name="Normal 2 4 5 2 2 4 3" xfId="8013" xr:uid="{D91DACB3-E797-481C-B1A0-85BB41E3F4F0}"/>
    <cellStyle name="Normal 2 4 5 2 2 5" xfId="4124" xr:uid="{70DF5F0D-20EE-4D33-9CEC-40FB32A5BC88}"/>
    <cellStyle name="Normal 2 4 5 2 2 5 2" xfId="6353" xr:uid="{F394C86C-F4A6-4C09-BEB2-2AE00B2446E7}"/>
    <cellStyle name="Normal 2 4 5 2 2 5 2 2" xfId="10571" xr:uid="{BA97B0D0-8988-4E19-A724-D6637302149F}"/>
    <cellStyle name="Normal 2 4 5 2 2 5 3" xfId="8426" xr:uid="{3D543D8F-5B71-43FF-AB6B-0255A4ABC742}"/>
    <cellStyle name="Normal 2 4 5 2 2 6" xfId="4537" xr:uid="{8FDFBFC5-CE50-4783-A4B7-1220137B3CF5}"/>
    <cellStyle name="Normal 2 4 5 2 2 6 2" xfId="6766" xr:uid="{6017BF4E-53C3-450A-AD28-90846FC7EB25}"/>
    <cellStyle name="Normal 2 4 5 2 2 6 2 2" xfId="10984" xr:uid="{B56F76E2-1DA9-46C1-AB97-4CD65870663E}"/>
    <cellStyle name="Normal 2 4 5 2 2 6 3" xfId="8839" xr:uid="{98DF8D65-A276-4D30-962F-BC5BAA842C1A}"/>
    <cellStyle name="Normal 2 4 5 2 2 7" xfId="4973" xr:uid="{3CC2D261-7398-4167-B8F3-FDD5BD64898A}"/>
    <cellStyle name="Normal 2 4 5 2 2 7 2" xfId="9252" xr:uid="{1C63B9B1-7CFC-43D0-8521-7CCCF4710834}"/>
    <cellStyle name="Normal 2 4 5 2 2 8" xfId="7186" xr:uid="{95D669AF-44AB-4BDE-88D9-7D09FB4A8B3F}"/>
    <cellStyle name="Normal 2 4 5 2 2 9" xfId="2882" xr:uid="{22E33E90-A9B8-4416-84BB-178353743628}"/>
    <cellStyle name="Normal 2 4 5 2 3" xfId="310" xr:uid="{00000000-0005-0000-0000-000018020000}"/>
    <cellStyle name="Normal 2 4 5 2 3 10" xfId="1226" xr:uid="{02DB4983-4C7C-4DC5-BD5A-5BDA77E273F2}"/>
    <cellStyle name="Normal 2 4 5 2 3 2" xfId="804" xr:uid="{00000000-0005-0000-0000-000019020000}"/>
    <cellStyle name="Normal 2 4 5 2 3 2 2" xfId="5529" xr:uid="{B4AD5A78-1932-4EB0-9C9C-D14A42676F6C}"/>
    <cellStyle name="Normal 2 4 5 2 3 2 2 2" xfId="9747" xr:uid="{2DBF8C33-D309-47A5-9B43-FC68B97F072C}"/>
    <cellStyle name="Normal 2 4 5 2 3 2 3" xfId="7602" xr:uid="{FB27D855-71BB-41AF-9A47-75D170FD43EC}"/>
    <cellStyle name="Normal 2 4 5 2 3 2 4" xfId="3300" xr:uid="{10182269-BD1B-4143-A97B-2D513380C1CC}"/>
    <cellStyle name="Normal 2 4 5 2 3 2 5" xfId="2471" xr:uid="{08F332AF-DF5D-4059-A934-15C47EE557A9}"/>
    <cellStyle name="Normal 2 4 5 2 3 2 6" xfId="1642" xr:uid="{D1396AAD-6E9A-4144-B1DB-746E9E153BB6}"/>
    <cellStyle name="Normal 2 4 5 2 3 3" xfId="3713" xr:uid="{72E486EA-1EB9-4032-AD6C-0E3DF70BB28B}"/>
    <cellStyle name="Normal 2 4 5 2 3 3 2" xfId="5942" xr:uid="{68B767B5-ECB0-4B9D-8855-DF2063BA01BE}"/>
    <cellStyle name="Normal 2 4 5 2 3 3 2 2" xfId="10160" xr:uid="{69AA0D37-F326-4E35-A71F-5DCF78C74A4F}"/>
    <cellStyle name="Normal 2 4 5 2 3 3 3" xfId="8015" xr:uid="{A5266BC6-D839-44EC-B286-A9BB57795EA9}"/>
    <cellStyle name="Normal 2 4 5 2 3 4" xfId="4126" xr:uid="{B2053A93-053E-4D24-A5DF-56D0561810F4}"/>
    <cellStyle name="Normal 2 4 5 2 3 4 2" xfId="6355" xr:uid="{4E1540C8-0C01-41D6-993D-DE81BEAAD5B6}"/>
    <cellStyle name="Normal 2 4 5 2 3 4 2 2" xfId="10573" xr:uid="{A974D8A0-8E0C-4A98-B0C2-9947E98C2384}"/>
    <cellStyle name="Normal 2 4 5 2 3 4 3" xfId="8428" xr:uid="{3B91DA16-14EC-45C3-A04C-93254A4A4F73}"/>
    <cellStyle name="Normal 2 4 5 2 3 5" xfId="4539" xr:uid="{73481A21-1A38-4808-A4E1-65669991252E}"/>
    <cellStyle name="Normal 2 4 5 2 3 5 2" xfId="6768" xr:uid="{342F8B48-AD16-4F36-8FC4-D94C9D66FA6E}"/>
    <cellStyle name="Normal 2 4 5 2 3 5 2 2" xfId="10986" xr:uid="{D65D54CA-3181-46CA-A8CC-E130244EEFEA}"/>
    <cellStyle name="Normal 2 4 5 2 3 5 3" xfId="8841" xr:uid="{6C2749A4-E913-43A5-AA8D-28703246D0A7}"/>
    <cellStyle name="Normal 2 4 5 2 3 6" xfId="4975" xr:uid="{EFE1455A-7C43-42A1-A421-26D497726CD1}"/>
    <cellStyle name="Normal 2 4 5 2 3 6 2" xfId="9254" xr:uid="{A0116E28-9E28-426C-ACC1-207BCCF883ED}"/>
    <cellStyle name="Normal 2 4 5 2 3 7" xfId="7188" xr:uid="{E3E479E0-9511-45EC-AFCE-67FEFF3CA842}"/>
    <cellStyle name="Normal 2 4 5 2 3 8" xfId="2884" xr:uid="{CBBA4E0E-70E0-4A16-99AF-1FAE19C04C1D}"/>
    <cellStyle name="Normal 2 4 5 2 3 9" xfId="2055" xr:uid="{7CF07690-8584-4466-8D27-950FD042526C}"/>
    <cellStyle name="Normal 2 4 5 2 4" xfId="801" xr:uid="{00000000-0005-0000-0000-00001A020000}"/>
    <cellStyle name="Normal 2 4 5 2 4 2" xfId="5526" xr:uid="{F26D7377-EC37-43A9-85E2-A05F5AF89B8F}"/>
    <cellStyle name="Normal 2 4 5 2 4 2 2" xfId="9744" xr:uid="{1AF3917B-30A3-46B7-A0D2-5298187D85A2}"/>
    <cellStyle name="Normal 2 4 5 2 4 3" xfId="7599" xr:uid="{F59E2814-C619-4785-B850-4F4FF8D611C6}"/>
    <cellStyle name="Normal 2 4 5 2 4 4" xfId="3297" xr:uid="{41A0D73C-9540-4077-920E-F284EC70A4C2}"/>
    <cellStyle name="Normal 2 4 5 2 4 5" xfId="2468" xr:uid="{4638DF37-E3A9-4E22-94F9-B9612554F1AF}"/>
    <cellStyle name="Normal 2 4 5 2 4 6" xfId="1639" xr:uid="{A0564135-1F0A-410A-866F-1814F149DE22}"/>
    <cellStyle name="Normal 2 4 5 2 5" xfId="3710" xr:uid="{025EB7BC-A249-45A0-9BE6-606A00F27A98}"/>
    <cellStyle name="Normal 2 4 5 2 5 2" xfId="5939" xr:uid="{B8087271-6DF9-4BA3-B8C2-01F669219BAC}"/>
    <cellStyle name="Normal 2 4 5 2 5 2 2" xfId="10157" xr:uid="{85571A21-F2C1-4B11-8A65-2971D198942B}"/>
    <cellStyle name="Normal 2 4 5 2 5 3" xfId="8012" xr:uid="{3A26C98E-63B1-4E85-AC53-08C24FDBA007}"/>
    <cellStyle name="Normal 2 4 5 2 6" xfId="4123" xr:uid="{CCC7A66B-6940-4C5A-AE74-296870A220E6}"/>
    <cellStyle name="Normal 2 4 5 2 6 2" xfId="6352" xr:uid="{6D14ED44-F9DA-4F5F-9768-467D9D9F02D6}"/>
    <cellStyle name="Normal 2 4 5 2 6 2 2" xfId="10570" xr:uid="{CC323D0A-2B40-4154-9A99-AF346D3AFB63}"/>
    <cellStyle name="Normal 2 4 5 2 6 3" xfId="8425" xr:uid="{35863721-03D8-436F-A168-0C6BEFB234E2}"/>
    <cellStyle name="Normal 2 4 5 2 7" xfId="4536" xr:uid="{F67469B1-91AF-436D-B06C-D631945BFD59}"/>
    <cellStyle name="Normal 2 4 5 2 7 2" xfId="6765" xr:uid="{C7D5B313-55C3-4024-8A78-749F71C95D76}"/>
    <cellStyle name="Normal 2 4 5 2 7 2 2" xfId="10983" xr:uid="{F875DF73-742F-408E-93F2-4C39B10AC371}"/>
    <cellStyle name="Normal 2 4 5 2 7 3" xfId="8838" xr:uid="{14817398-0A2C-465E-9EA2-2E820B1113BE}"/>
    <cellStyle name="Normal 2 4 5 2 8" xfId="4972" xr:uid="{9B53C726-D25C-46F2-969C-55658C2F2AD7}"/>
    <cellStyle name="Normal 2 4 5 2 8 2" xfId="9251" xr:uid="{E020A54B-6CCD-412E-AF12-4FC1D4EEA95F}"/>
    <cellStyle name="Normal 2 4 5 2 9" xfId="7185" xr:uid="{1DC6707D-F488-4F99-9D40-710CA4CE0C01}"/>
    <cellStyle name="Normal 2 4 5 3" xfId="311" xr:uid="{00000000-0005-0000-0000-00001B020000}"/>
    <cellStyle name="Normal 2 4 5 3 10" xfId="2056" xr:uid="{F0F72F57-8B6E-41D9-86F2-B922365379D1}"/>
    <cellStyle name="Normal 2 4 5 3 11" xfId="1227" xr:uid="{91B613DF-8DFB-4E2D-9937-51C5922EC87D}"/>
    <cellStyle name="Normal 2 4 5 3 2" xfId="312" xr:uid="{00000000-0005-0000-0000-00001C020000}"/>
    <cellStyle name="Normal 2 4 5 3 2 10" xfId="1228" xr:uid="{527518DA-56C7-4810-A68D-6FD9BC282E80}"/>
    <cellStyle name="Normal 2 4 5 3 2 2" xfId="806" xr:uid="{00000000-0005-0000-0000-00001D020000}"/>
    <cellStyle name="Normal 2 4 5 3 2 2 2" xfId="5531" xr:uid="{02CCB683-3D29-4AAC-81CB-4CE77E8B9720}"/>
    <cellStyle name="Normal 2 4 5 3 2 2 2 2" xfId="9749" xr:uid="{D65FEC6D-982F-4DBF-9002-CC9F704A224F}"/>
    <cellStyle name="Normal 2 4 5 3 2 2 3" xfId="7604" xr:uid="{80CFD7AE-7C2F-41FE-9C7D-A772DEEC41DF}"/>
    <cellStyle name="Normal 2 4 5 3 2 2 4" xfId="3302" xr:uid="{81F3F3B5-65D7-40D1-A644-36758581583D}"/>
    <cellStyle name="Normal 2 4 5 3 2 2 5" xfId="2473" xr:uid="{BB7266B2-C672-4E7C-BAE1-527F553D0CC6}"/>
    <cellStyle name="Normal 2 4 5 3 2 2 6" xfId="1644" xr:uid="{4CDC6C1F-DB3B-49BD-A93D-A16B1BAF2FF1}"/>
    <cellStyle name="Normal 2 4 5 3 2 3" xfId="3715" xr:uid="{060C0FB1-10AB-4854-A984-A8FD28129043}"/>
    <cellStyle name="Normal 2 4 5 3 2 3 2" xfId="5944" xr:uid="{A462AB6D-A963-4C0C-BFE4-9B5616D60DE1}"/>
    <cellStyle name="Normal 2 4 5 3 2 3 2 2" xfId="10162" xr:uid="{5490C2C3-581F-49CB-9BF4-DE39FB111880}"/>
    <cellStyle name="Normal 2 4 5 3 2 3 3" xfId="8017" xr:uid="{047C3911-8E03-4355-82AE-3332BD65B6A5}"/>
    <cellStyle name="Normal 2 4 5 3 2 4" xfId="4128" xr:uid="{06F3BD2E-D166-4156-9846-8FF5DF58CA87}"/>
    <cellStyle name="Normal 2 4 5 3 2 4 2" xfId="6357" xr:uid="{DE90B346-1FB0-4145-9707-111D41A14AF8}"/>
    <cellStyle name="Normal 2 4 5 3 2 4 2 2" xfId="10575" xr:uid="{155A27CC-5E08-44D9-8EA5-521CDCF14ACE}"/>
    <cellStyle name="Normal 2 4 5 3 2 4 3" xfId="8430" xr:uid="{CDD60B0C-75DA-4604-899C-66D128F05ECC}"/>
    <cellStyle name="Normal 2 4 5 3 2 5" xfId="4541" xr:uid="{4AC5ADC7-F381-4BB1-B83B-9EA7EE21CB66}"/>
    <cellStyle name="Normal 2 4 5 3 2 5 2" xfId="6770" xr:uid="{BBBC104E-CCBB-4DCB-BD3A-0E3CA8FA9AAA}"/>
    <cellStyle name="Normal 2 4 5 3 2 5 2 2" xfId="10988" xr:uid="{D45AF128-16C2-406F-A527-D9E1DAD78A8E}"/>
    <cellStyle name="Normal 2 4 5 3 2 5 3" xfId="8843" xr:uid="{E2E739FA-C7AE-4D9E-A49A-3C8BB0174753}"/>
    <cellStyle name="Normal 2 4 5 3 2 6" xfId="4977" xr:uid="{507543BF-AA53-402E-B3D4-CA13A804F7EB}"/>
    <cellStyle name="Normal 2 4 5 3 2 6 2" xfId="9256" xr:uid="{1D8CFCFC-6EC0-4642-A146-C16777812C98}"/>
    <cellStyle name="Normal 2 4 5 3 2 7" xfId="7190" xr:uid="{DF324FAD-BB33-443E-80E2-97AC845FBEE0}"/>
    <cellStyle name="Normal 2 4 5 3 2 8" xfId="2886" xr:uid="{77C49A4E-1372-4354-B1AD-79E141724D67}"/>
    <cellStyle name="Normal 2 4 5 3 2 9" xfId="2057" xr:uid="{B16F68AC-6BF6-496D-8482-42C22578EF82}"/>
    <cellStyle name="Normal 2 4 5 3 3" xfId="805" xr:uid="{00000000-0005-0000-0000-00001E020000}"/>
    <cellStyle name="Normal 2 4 5 3 3 2" xfId="5530" xr:uid="{50DC48BA-6DA0-47DA-A2E3-F92EE733031D}"/>
    <cellStyle name="Normal 2 4 5 3 3 2 2" xfId="9748" xr:uid="{863E1D5B-5604-4263-A037-B46A284D34E6}"/>
    <cellStyle name="Normal 2 4 5 3 3 3" xfId="7603" xr:uid="{0FA2AC06-3F70-4D21-8102-37F35555B566}"/>
    <cellStyle name="Normal 2 4 5 3 3 4" xfId="3301" xr:uid="{823C6D26-2A0C-46E1-A2E6-FF107EE27AAE}"/>
    <cellStyle name="Normal 2 4 5 3 3 5" xfId="2472" xr:uid="{7A153847-8D2B-4B1B-B3D4-B63BC2F4D631}"/>
    <cellStyle name="Normal 2 4 5 3 3 6" xfId="1643" xr:uid="{FA518FF5-B88B-4E85-BE92-2F78AA8F65DB}"/>
    <cellStyle name="Normal 2 4 5 3 4" xfId="3714" xr:uid="{91A0CD61-AAF9-46E7-8213-522820084284}"/>
    <cellStyle name="Normal 2 4 5 3 4 2" xfId="5943" xr:uid="{4E80028A-FE95-4A12-9CD5-968373F52134}"/>
    <cellStyle name="Normal 2 4 5 3 4 2 2" xfId="10161" xr:uid="{644C8184-7FF2-4A91-A890-FE2669BD14D1}"/>
    <cellStyle name="Normal 2 4 5 3 4 3" xfId="8016" xr:uid="{0B3D55F7-EA66-43AB-BC2E-769F81A70D99}"/>
    <cellStyle name="Normal 2 4 5 3 5" xfId="4127" xr:uid="{5861E8F4-8194-454E-B344-C36A68570185}"/>
    <cellStyle name="Normal 2 4 5 3 5 2" xfId="6356" xr:uid="{510B5E8B-2312-4731-AF8D-25DBF5CE0353}"/>
    <cellStyle name="Normal 2 4 5 3 5 2 2" xfId="10574" xr:uid="{B478A3EC-FECE-4073-A5CE-16FB52C90B0A}"/>
    <cellStyle name="Normal 2 4 5 3 5 3" xfId="8429" xr:uid="{E8D49A7B-56F9-4E40-878D-1284CB43FC54}"/>
    <cellStyle name="Normal 2 4 5 3 6" xfId="4540" xr:uid="{FDA4D9DD-CA00-4517-B54B-6B89A552D137}"/>
    <cellStyle name="Normal 2 4 5 3 6 2" xfId="6769" xr:uid="{FD19ABC6-B6D4-432B-9509-BCF262A69544}"/>
    <cellStyle name="Normal 2 4 5 3 6 2 2" xfId="10987" xr:uid="{C7F455D5-E878-41F2-A795-1942DDD89D09}"/>
    <cellStyle name="Normal 2 4 5 3 6 3" xfId="8842" xr:uid="{73A4D2E8-F0FA-4CAD-AC62-9514A7ADC40B}"/>
    <cellStyle name="Normal 2 4 5 3 7" xfId="4976" xr:uid="{41BC2F70-0DE2-45DB-A890-A355EFEECACB}"/>
    <cellStyle name="Normal 2 4 5 3 7 2" xfId="9255" xr:uid="{B714BB10-A09F-421B-A74E-C3B4066438DB}"/>
    <cellStyle name="Normal 2 4 5 3 8" xfId="7189" xr:uid="{9B6D5C7B-B94D-4125-BA9C-DA5B6A9F5F70}"/>
    <cellStyle name="Normal 2 4 5 3 9" xfId="2885" xr:uid="{8495D450-7316-4FAD-BB1E-3CE4FAB6B965}"/>
    <cellStyle name="Normal 2 4 5 4" xfId="313" xr:uid="{00000000-0005-0000-0000-00001F020000}"/>
    <cellStyle name="Normal 2 4 5 4 10" xfId="1229" xr:uid="{47672C73-7763-47B6-B600-6FB64174FD3B}"/>
    <cellStyle name="Normal 2 4 5 4 2" xfId="807" xr:uid="{00000000-0005-0000-0000-000020020000}"/>
    <cellStyle name="Normal 2 4 5 4 2 2" xfId="5532" xr:uid="{C264DEAA-1645-4E4A-98E7-4F01BC980632}"/>
    <cellStyle name="Normal 2 4 5 4 2 2 2" xfId="9750" xr:uid="{3F284A8F-03CE-4297-B757-1308CAC27788}"/>
    <cellStyle name="Normal 2 4 5 4 2 3" xfId="7605" xr:uid="{61394D2C-E798-4713-8910-961196D41D0D}"/>
    <cellStyle name="Normal 2 4 5 4 2 4" xfId="3303" xr:uid="{81B828F3-ED91-4594-9960-7CDC2D7F58F3}"/>
    <cellStyle name="Normal 2 4 5 4 2 5" xfId="2474" xr:uid="{BE1BD7B1-08AF-43AA-925F-0CB4199AF778}"/>
    <cellStyle name="Normal 2 4 5 4 2 6" xfId="1645" xr:uid="{69BAABED-10A3-49DC-A30B-9C138A38F482}"/>
    <cellStyle name="Normal 2 4 5 4 3" xfId="3716" xr:uid="{1EC4D7CF-A2A8-493D-8BB4-EDD39AF07D07}"/>
    <cellStyle name="Normal 2 4 5 4 3 2" xfId="5945" xr:uid="{B3B0E8F5-2D93-450B-98C8-C6B5A7D0A2C8}"/>
    <cellStyle name="Normal 2 4 5 4 3 2 2" xfId="10163" xr:uid="{38379C57-CB88-4995-B59C-85776BFCFB77}"/>
    <cellStyle name="Normal 2 4 5 4 3 3" xfId="8018" xr:uid="{4953BE20-C344-4A55-AA7B-6C3328EDD2ED}"/>
    <cellStyle name="Normal 2 4 5 4 4" xfId="4129" xr:uid="{11431FFC-8D8A-4588-A3BF-2B78C92E0F85}"/>
    <cellStyle name="Normal 2 4 5 4 4 2" xfId="6358" xr:uid="{5DCC8085-13A9-41F5-9EFA-055EF3A1BB56}"/>
    <cellStyle name="Normal 2 4 5 4 4 2 2" xfId="10576" xr:uid="{79CE3176-3C1D-4D5F-9CD3-CFB294BB690C}"/>
    <cellStyle name="Normal 2 4 5 4 4 3" xfId="8431" xr:uid="{07730A72-C633-4998-8E19-95138D934547}"/>
    <cellStyle name="Normal 2 4 5 4 5" xfId="4542" xr:uid="{1567A149-8736-47E7-B9C0-22676F7129F1}"/>
    <cellStyle name="Normal 2 4 5 4 5 2" xfId="6771" xr:uid="{C8E140B7-2C2C-4FF4-BA72-ED8B64E43185}"/>
    <cellStyle name="Normal 2 4 5 4 5 2 2" xfId="10989" xr:uid="{D89B26C4-8E6E-4A54-BEA7-B9A63CA327D5}"/>
    <cellStyle name="Normal 2 4 5 4 5 3" xfId="8844" xr:uid="{3ECBAF51-A44D-40AC-99DF-18998A60EB4D}"/>
    <cellStyle name="Normal 2 4 5 4 6" xfId="4978" xr:uid="{C39D626E-B436-45BA-85DD-C96121432C0A}"/>
    <cellStyle name="Normal 2 4 5 4 6 2" xfId="9257" xr:uid="{E54A9C52-F515-42F1-8A88-694F907D0BD8}"/>
    <cellStyle name="Normal 2 4 5 4 7" xfId="7191" xr:uid="{CA0C5853-1BE2-4478-8882-8168E75BBE35}"/>
    <cellStyle name="Normal 2 4 5 4 8" xfId="2887" xr:uid="{949A704F-D799-4A31-AE35-29749519F413}"/>
    <cellStyle name="Normal 2 4 5 4 9" xfId="2058" xr:uid="{19F08EC8-84BB-42E7-8D58-19506709A4CF}"/>
    <cellStyle name="Normal 2 4 5 5" xfId="800" xr:uid="{00000000-0005-0000-0000-000021020000}"/>
    <cellStyle name="Normal 2 4 5 5 2" xfId="5525" xr:uid="{84855C19-6B60-492E-9A27-7C985F5A879A}"/>
    <cellStyle name="Normal 2 4 5 5 2 2" xfId="9743" xr:uid="{B822E4BA-30F0-4E47-8A42-E299246D4EAC}"/>
    <cellStyle name="Normal 2 4 5 5 3" xfId="7598" xr:uid="{63314ACD-8E5F-4460-AFF6-DE840900C7C3}"/>
    <cellStyle name="Normal 2 4 5 5 4" xfId="3296" xr:uid="{1B503D3C-A2F6-47C6-90AC-B91631182B22}"/>
    <cellStyle name="Normal 2 4 5 5 5" xfId="2467" xr:uid="{D706BD9F-B464-4121-B361-E145378D1A7E}"/>
    <cellStyle name="Normal 2 4 5 5 6" xfId="1638" xr:uid="{BFB167F1-4CD5-40E4-91CB-29936208820B}"/>
    <cellStyle name="Normal 2 4 5 6" xfId="3709" xr:uid="{9EA874AD-7F2E-49DD-9CAF-B2A9A3FB856A}"/>
    <cellStyle name="Normal 2 4 5 6 2" xfId="5938" xr:uid="{C259EB9F-717B-45E6-A04B-657716A2AC18}"/>
    <cellStyle name="Normal 2 4 5 6 2 2" xfId="10156" xr:uid="{E3B05EE9-E9E7-40E1-AA59-B3EC847DF618}"/>
    <cellStyle name="Normal 2 4 5 6 3" xfId="8011" xr:uid="{60DC3DCB-2FFC-4E60-9DFA-10AB1F9A0520}"/>
    <cellStyle name="Normal 2 4 5 7" xfId="4122" xr:uid="{BF386491-EDDE-4396-AD71-EBAEA3262FF9}"/>
    <cellStyle name="Normal 2 4 5 7 2" xfId="6351" xr:uid="{AD2D7B54-6470-42B0-8EE1-8AA47DA03F37}"/>
    <cellStyle name="Normal 2 4 5 7 2 2" xfId="10569" xr:uid="{B8D8108A-F572-4918-8C08-782BB810F3D4}"/>
    <cellStyle name="Normal 2 4 5 7 3" xfId="8424" xr:uid="{FB1A4176-A777-4717-8877-791ECEACAC67}"/>
    <cellStyle name="Normal 2 4 5 8" xfId="4535" xr:uid="{1642580B-437A-45F4-A558-DC867687B2E2}"/>
    <cellStyle name="Normal 2 4 5 8 2" xfId="6764" xr:uid="{DD4B96B5-E55F-45E7-A54F-98389D4179E3}"/>
    <cellStyle name="Normal 2 4 5 8 2 2" xfId="10982" xr:uid="{88A0E21A-F705-428F-AE66-2C7BF14AD601}"/>
    <cellStyle name="Normal 2 4 5 8 3" xfId="8837" xr:uid="{20D5AAD5-B9E1-4A32-9500-B546F657EBB2}"/>
    <cellStyle name="Normal 2 4 5 9" xfId="4971" xr:uid="{10BB3F6A-6F82-440A-AA10-8E3747A1FD07}"/>
    <cellStyle name="Normal 2 4 5 9 2" xfId="9250" xr:uid="{47A31AB1-20E8-4824-87F2-293EDCB00BE8}"/>
    <cellStyle name="Normal 2 4 6" xfId="314" xr:uid="{00000000-0005-0000-0000-000022020000}"/>
    <cellStyle name="Normal 2 4 7" xfId="315" xr:uid="{00000000-0005-0000-0000-000023020000}"/>
    <cellStyle name="Normal 2 4 7 10" xfId="2059" xr:uid="{D4C2478D-E655-4D3A-BDA0-B36908242996}"/>
    <cellStyle name="Normal 2 4 7 11" xfId="1230" xr:uid="{A88BE5C1-E011-4872-97E9-C18B8B36D92E}"/>
    <cellStyle name="Normal 2 4 7 2" xfId="316" xr:uid="{00000000-0005-0000-0000-000024020000}"/>
    <cellStyle name="Normal 2 4 7 2 10" xfId="1231" xr:uid="{61C9704B-1D48-4799-B2D6-0B5673319741}"/>
    <cellStyle name="Normal 2 4 7 2 2" xfId="809" xr:uid="{00000000-0005-0000-0000-000025020000}"/>
    <cellStyle name="Normal 2 4 7 2 2 2" xfId="5534" xr:uid="{F12F2FBE-0D24-4AD9-8943-A32113D0676F}"/>
    <cellStyle name="Normal 2 4 7 2 2 2 2" xfId="9752" xr:uid="{D1B418D8-AC1A-451D-92FA-5D3BC42F56E9}"/>
    <cellStyle name="Normal 2 4 7 2 2 3" xfId="7607" xr:uid="{533669BB-07F9-42FF-B841-32959A8D4B58}"/>
    <cellStyle name="Normal 2 4 7 2 2 4" xfId="3305" xr:uid="{8126C73B-587C-4B0C-8FC8-C05641C2EDB7}"/>
    <cellStyle name="Normal 2 4 7 2 2 5" xfId="2476" xr:uid="{5A0198BF-32DE-42C1-8989-363DF1D5C40C}"/>
    <cellStyle name="Normal 2 4 7 2 2 6" xfId="1647" xr:uid="{6697B97D-D3D1-4C94-9931-DDC61917D7E9}"/>
    <cellStyle name="Normal 2 4 7 2 3" xfId="3718" xr:uid="{11AA3FDF-F892-4BC8-A7C1-2CDEEF666760}"/>
    <cellStyle name="Normal 2 4 7 2 3 2" xfId="5947" xr:uid="{176AAFEE-BCEB-480A-A0E1-06EF1CE33232}"/>
    <cellStyle name="Normal 2 4 7 2 3 2 2" xfId="10165" xr:uid="{F6107D64-AF3E-4629-A54B-6246CD9BF341}"/>
    <cellStyle name="Normal 2 4 7 2 3 3" xfId="8020" xr:uid="{0DB8B63E-2214-40BD-9FD5-3F86FD7EF924}"/>
    <cellStyle name="Normal 2 4 7 2 4" xfId="4131" xr:uid="{DE74021A-7976-434F-BFE6-D4A4C16925F2}"/>
    <cellStyle name="Normal 2 4 7 2 4 2" xfId="6360" xr:uid="{6CCD97B0-A98A-4279-80B8-5D6170E7CB6A}"/>
    <cellStyle name="Normal 2 4 7 2 4 2 2" xfId="10578" xr:uid="{AFB4CA65-8D7C-4E8B-B7BC-0A67616EF7FE}"/>
    <cellStyle name="Normal 2 4 7 2 4 3" xfId="8433" xr:uid="{1336A778-5B5B-4E6C-84D3-332FAB6A1335}"/>
    <cellStyle name="Normal 2 4 7 2 5" xfId="4544" xr:uid="{C13B6DCF-B3E9-45E3-B343-53D6ACB3D104}"/>
    <cellStyle name="Normal 2 4 7 2 5 2" xfId="6773" xr:uid="{219A1E13-897D-4978-9D23-3F94CF39AE6D}"/>
    <cellStyle name="Normal 2 4 7 2 5 2 2" xfId="10991" xr:uid="{A6ECED17-3E65-4D64-96D8-64F4A15B223A}"/>
    <cellStyle name="Normal 2 4 7 2 5 3" xfId="8846" xr:uid="{0EA602B2-446B-452A-8502-ACAB3D1CC114}"/>
    <cellStyle name="Normal 2 4 7 2 6" xfId="4980" xr:uid="{6788EAA9-3C0D-48ED-987E-F64FDFC7E324}"/>
    <cellStyle name="Normal 2 4 7 2 6 2" xfId="9259" xr:uid="{0018AAEF-4E6B-46F6-9CF1-D143F79AA3DD}"/>
    <cellStyle name="Normal 2 4 7 2 7" xfId="7193" xr:uid="{A823F201-144A-4005-A2E2-9620A593F1B0}"/>
    <cellStyle name="Normal 2 4 7 2 8" xfId="2889" xr:uid="{41F4EE62-D507-4CD6-89DB-7E8193E04337}"/>
    <cellStyle name="Normal 2 4 7 2 9" xfId="2060" xr:uid="{4565FB69-0189-4E07-B58C-5A21FC201967}"/>
    <cellStyle name="Normal 2 4 7 3" xfId="808" xr:uid="{00000000-0005-0000-0000-000026020000}"/>
    <cellStyle name="Normal 2 4 7 3 2" xfId="5533" xr:uid="{7336849C-C93A-4052-827F-8518D0A034FD}"/>
    <cellStyle name="Normal 2 4 7 3 2 2" xfId="9751" xr:uid="{D6DA4F4A-CEDD-44F2-AB60-0920E8D0F4EF}"/>
    <cellStyle name="Normal 2 4 7 3 3" xfId="7606" xr:uid="{8479D5D0-4B01-4EED-9FAF-D52AF34A947D}"/>
    <cellStyle name="Normal 2 4 7 3 4" xfId="3304" xr:uid="{9F48095E-7EF6-4C9F-84C1-966C2C7EE2B5}"/>
    <cellStyle name="Normal 2 4 7 3 5" xfId="2475" xr:uid="{0426ADE5-4EDF-4B82-AB08-7426F167BB64}"/>
    <cellStyle name="Normal 2 4 7 3 6" xfId="1646" xr:uid="{F28791A4-3D1E-4A54-87E7-F709F4709F87}"/>
    <cellStyle name="Normal 2 4 7 4" xfId="3717" xr:uid="{28DAD96B-FA6A-4400-B114-ADEB4C264076}"/>
    <cellStyle name="Normal 2 4 7 4 2" xfId="5946" xr:uid="{A697DD80-B7F3-4A37-A6A7-55AFCD2E972F}"/>
    <cellStyle name="Normal 2 4 7 4 2 2" xfId="10164" xr:uid="{DE2FCE0A-0081-4D23-80D7-D49062C8D35D}"/>
    <cellStyle name="Normal 2 4 7 4 3" xfId="8019" xr:uid="{0B3A2578-13B0-4432-BB1F-782A84BDE74E}"/>
    <cellStyle name="Normal 2 4 7 5" xfId="4130" xr:uid="{E152750A-F1C6-4BE6-877C-031FFA2FDE99}"/>
    <cellStyle name="Normal 2 4 7 5 2" xfId="6359" xr:uid="{B3363D7A-2E90-4CB5-8E3E-080CFB338DB8}"/>
    <cellStyle name="Normal 2 4 7 5 2 2" xfId="10577" xr:uid="{32D26460-640A-402A-AD9C-C43D65F5F70D}"/>
    <cellStyle name="Normal 2 4 7 5 3" xfId="8432" xr:uid="{87D7E8F6-4285-4A36-9947-21E0C29AAA26}"/>
    <cellStyle name="Normal 2 4 7 6" xfId="4543" xr:uid="{D72CE568-60C2-4ECD-B46F-A398DC503AD8}"/>
    <cellStyle name="Normal 2 4 7 6 2" xfId="6772" xr:uid="{1F6491E9-14D2-440E-B2B0-31EFA0AB838B}"/>
    <cellStyle name="Normal 2 4 7 6 2 2" xfId="10990" xr:uid="{7A28FFE2-3F86-4137-AF09-2FB842A07AAD}"/>
    <cellStyle name="Normal 2 4 7 6 3" xfId="8845" xr:uid="{0519817F-8496-4E9C-B1FC-153570C9289D}"/>
    <cellStyle name="Normal 2 4 7 7" xfId="4979" xr:uid="{75DF3AE7-09F2-4C18-9052-87F589AB577D}"/>
    <cellStyle name="Normal 2 4 7 7 2" xfId="9258" xr:uid="{DF6AD87E-7A06-4DAE-8433-5037B93880DC}"/>
    <cellStyle name="Normal 2 4 7 8" xfId="7192" xr:uid="{89FC51A4-DA95-4CCE-93D7-A117A3B0B198}"/>
    <cellStyle name="Normal 2 4 7 9" xfId="2888" xr:uid="{B6894F96-BC80-41A5-96BA-09B958267AF2}"/>
    <cellStyle name="Normal 2 4 8" xfId="317" xr:uid="{00000000-0005-0000-0000-000027020000}"/>
    <cellStyle name="Normal 2 4 8 10" xfId="1232" xr:uid="{3D292501-F04A-4073-AAC9-F959BF95FA65}"/>
    <cellStyle name="Normal 2 4 8 2" xfId="810" xr:uid="{00000000-0005-0000-0000-000028020000}"/>
    <cellStyle name="Normal 2 4 8 2 2" xfId="5535" xr:uid="{0068DDBF-BD48-4691-8B36-B2CC759F0FBC}"/>
    <cellStyle name="Normal 2 4 8 2 2 2" xfId="9753" xr:uid="{9EC82021-B9BD-49EB-AA35-AA1618E99E59}"/>
    <cellStyle name="Normal 2 4 8 2 3" xfId="7608" xr:uid="{163185FD-D33C-4FC4-834B-898A28A4B5A5}"/>
    <cellStyle name="Normal 2 4 8 2 4" xfId="3306" xr:uid="{56F263B1-EED5-4F17-98E2-CAB29D4EB2F1}"/>
    <cellStyle name="Normal 2 4 8 2 5" xfId="2477" xr:uid="{172C84C1-D15B-400E-A4A7-2395F04D6676}"/>
    <cellStyle name="Normal 2 4 8 2 6" xfId="1648" xr:uid="{C6B0416F-8C2C-4D91-9A40-C717C9D27C50}"/>
    <cellStyle name="Normal 2 4 8 3" xfId="3719" xr:uid="{03A369D6-74F6-4524-A42B-049019154D0F}"/>
    <cellStyle name="Normal 2 4 8 3 2" xfId="5948" xr:uid="{D4CE6A84-DCA8-4B61-990E-3C9D4C50FE71}"/>
    <cellStyle name="Normal 2 4 8 3 2 2" xfId="10166" xr:uid="{BA4E00CC-6D7C-4B7C-9153-947D2ECF01E1}"/>
    <cellStyle name="Normal 2 4 8 3 3" xfId="8021" xr:uid="{3516FF10-B511-4027-BB12-B745D7000925}"/>
    <cellStyle name="Normal 2 4 8 4" xfId="4132" xr:uid="{C08A2BAA-18BB-4F10-874A-2834C399500B}"/>
    <cellStyle name="Normal 2 4 8 4 2" xfId="6361" xr:uid="{554FC7E4-29D4-4BB3-96C8-DB518270A56F}"/>
    <cellStyle name="Normal 2 4 8 4 2 2" xfId="10579" xr:uid="{952306D0-E092-4F22-A4A4-B54D75EBFE15}"/>
    <cellStyle name="Normal 2 4 8 4 3" xfId="8434" xr:uid="{1819C240-E3A0-4D46-9BCA-0B3BA60907D6}"/>
    <cellStyle name="Normal 2 4 8 5" xfId="4545" xr:uid="{881042C1-6C9D-4F2A-B387-2473DB8AD693}"/>
    <cellStyle name="Normal 2 4 8 5 2" xfId="6774" xr:uid="{934B22D7-6F08-4A48-AD96-9F9E0D804DD7}"/>
    <cellStyle name="Normal 2 4 8 5 2 2" xfId="10992" xr:uid="{6DA8B506-2C32-4FAC-AB5B-427B36103433}"/>
    <cellStyle name="Normal 2 4 8 5 3" xfId="8847" xr:uid="{74F34ECC-9BD9-4B8E-8B05-86AE168FC125}"/>
    <cellStyle name="Normal 2 4 8 6" xfId="4981" xr:uid="{9DBDE837-28B9-4D7E-9F90-43FA8402333A}"/>
    <cellStyle name="Normal 2 4 8 6 2" xfId="9260" xr:uid="{219D1D22-1BEB-43D5-9F69-D033AD146F73}"/>
    <cellStyle name="Normal 2 4 8 7" xfId="7194" xr:uid="{565C778F-BA9B-4223-B8F6-181B31C9566F}"/>
    <cellStyle name="Normal 2 4 8 8" xfId="2890" xr:uid="{7F4CB2FB-1D79-456B-9650-75F07B6B3720}"/>
    <cellStyle name="Normal 2 4 8 9" xfId="2061" xr:uid="{11353BFB-DE56-4E6B-83C1-C1359D954D96}"/>
    <cellStyle name="Normal 2 5" xfId="318" xr:uid="{00000000-0005-0000-0000-000029020000}"/>
    <cellStyle name="Normal 2 5 10" xfId="7195" xr:uid="{11B463E1-5DE1-4A45-A881-C33FB75B6886}"/>
    <cellStyle name="Normal 2 5 11" xfId="2891" xr:uid="{8D1A2661-EF88-42D2-8F76-7587B37057BC}"/>
    <cellStyle name="Normal 2 5 12" xfId="2062" xr:uid="{6AA501B5-B1DF-4B96-9FDC-C8DBBC1E0391}"/>
    <cellStyle name="Normal 2 5 13" xfId="1233" xr:uid="{486BEE99-46D4-4A53-9D67-9F86E8F5CE31}"/>
    <cellStyle name="Normal 2 5 2" xfId="319" xr:uid="{00000000-0005-0000-0000-00002A020000}"/>
    <cellStyle name="Normal 2 5 3" xfId="320" xr:uid="{00000000-0005-0000-0000-00002B020000}"/>
    <cellStyle name="Normal 2 5 4" xfId="321" xr:uid="{00000000-0005-0000-0000-00002C020000}"/>
    <cellStyle name="Normal 2 5 4 10" xfId="2892" xr:uid="{0DD0DFAB-4F87-4C52-A830-F22910D6DD35}"/>
    <cellStyle name="Normal 2 5 4 11" xfId="2063" xr:uid="{0DE1CF5A-29F2-4753-94DC-582E73F3A25A}"/>
    <cellStyle name="Normal 2 5 4 12" xfId="1234" xr:uid="{20573DE1-1B4C-4F74-BED6-03E45D571BD2}"/>
    <cellStyle name="Normal 2 5 4 2" xfId="322" xr:uid="{00000000-0005-0000-0000-00002D020000}"/>
    <cellStyle name="Normal 2 5 4 2 10" xfId="2064" xr:uid="{0DEE39A6-52CB-4363-896C-94EF05168365}"/>
    <cellStyle name="Normal 2 5 4 2 11" xfId="1235" xr:uid="{8AC0FC38-6E83-499E-9759-B40646F75EF8}"/>
    <cellStyle name="Normal 2 5 4 2 2" xfId="323" xr:uid="{00000000-0005-0000-0000-00002E020000}"/>
    <cellStyle name="Normal 2 5 4 2 2 10" xfId="1236" xr:uid="{E85AE008-8C9D-4662-B8D3-02EB652FD620}"/>
    <cellStyle name="Normal 2 5 4 2 2 2" xfId="814" xr:uid="{00000000-0005-0000-0000-00002F020000}"/>
    <cellStyle name="Normal 2 5 4 2 2 2 2" xfId="5539" xr:uid="{165B14B3-3C62-437C-B974-6AB930983DDB}"/>
    <cellStyle name="Normal 2 5 4 2 2 2 2 2" xfId="9757" xr:uid="{50646D36-7452-4547-8C6C-A4A037353FAB}"/>
    <cellStyle name="Normal 2 5 4 2 2 2 3" xfId="7612" xr:uid="{C72CA5AF-B797-41E3-8ADF-35C4B7BCF4C9}"/>
    <cellStyle name="Normal 2 5 4 2 2 2 4" xfId="3310" xr:uid="{69178738-4863-4E07-894E-D494FCFC9AC5}"/>
    <cellStyle name="Normal 2 5 4 2 2 2 5" xfId="2481" xr:uid="{FB856CDD-C52B-4261-87FB-7367BA25C9A9}"/>
    <cellStyle name="Normal 2 5 4 2 2 2 6" xfId="1652" xr:uid="{A8A9885A-4961-44AF-B902-D97488B6AAA2}"/>
    <cellStyle name="Normal 2 5 4 2 2 3" xfId="3723" xr:uid="{220BD075-EC96-4500-BD69-09B2F5F748F9}"/>
    <cellStyle name="Normal 2 5 4 2 2 3 2" xfId="5952" xr:uid="{27ED6A24-BFF7-422F-B836-5759FB5A2CED}"/>
    <cellStyle name="Normal 2 5 4 2 2 3 2 2" xfId="10170" xr:uid="{E4A4C77E-A031-4AB1-9D33-D7E9DE7EAC77}"/>
    <cellStyle name="Normal 2 5 4 2 2 3 3" xfId="8025" xr:uid="{0D403415-AE79-42EA-8BE6-FE74E512CAF2}"/>
    <cellStyle name="Normal 2 5 4 2 2 4" xfId="4136" xr:uid="{F3049B22-8EE0-4F74-99E5-19EE84992725}"/>
    <cellStyle name="Normal 2 5 4 2 2 4 2" xfId="6365" xr:uid="{46CFEB5E-B385-413E-9EAC-E2BDCEE6BD4E}"/>
    <cellStyle name="Normal 2 5 4 2 2 4 2 2" xfId="10583" xr:uid="{D934899A-F05C-4019-BC03-9A3D4EF50739}"/>
    <cellStyle name="Normal 2 5 4 2 2 4 3" xfId="8438" xr:uid="{15243501-4373-4365-9A9C-7F53057A46C6}"/>
    <cellStyle name="Normal 2 5 4 2 2 5" xfId="4549" xr:uid="{430DDC6E-A3E3-4D54-8236-7EBCFD7223C1}"/>
    <cellStyle name="Normal 2 5 4 2 2 5 2" xfId="6778" xr:uid="{F26DC350-8287-4032-BE30-D40E0AB854A9}"/>
    <cellStyle name="Normal 2 5 4 2 2 5 2 2" xfId="10996" xr:uid="{9FED2434-2C2B-47E6-AF58-89BD010FB0E4}"/>
    <cellStyle name="Normal 2 5 4 2 2 5 3" xfId="8851" xr:uid="{CD1763E7-EF04-4DF4-B6F1-679BA72A3DDD}"/>
    <cellStyle name="Normal 2 5 4 2 2 6" xfId="4985" xr:uid="{5174B3BD-D05D-4557-8B05-E338A8170BAD}"/>
    <cellStyle name="Normal 2 5 4 2 2 6 2" xfId="9264" xr:uid="{2AC57295-2577-49A2-BC69-9871F9760109}"/>
    <cellStyle name="Normal 2 5 4 2 2 7" xfId="7198" xr:uid="{02135914-D521-4028-B936-53DE2F517700}"/>
    <cellStyle name="Normal 2 5 4 2 2 8" xfId="2894" xr:uid="{C27C319E-1CC2-4D08-B726-52F1D8A40A5A}"/>
    <cellStyle name="Normal 2 5 4 2 2 9" xfId="2065" xr:uid="{DF7D0384-A76B-495C-9C15-E268B397A9F6}"/>
    <cellStyle name="Normal 2 5 4 2 3" xfId="813" xr:uid="{00000000-0005-0000-0000-000030020000}"/>
    <cellStyle name="Normal 2 5 4 2 3 2" xfId="5538" xr:uid="{2ACC0E5C-6241-4F0D-8B51-1AAEC2411915}"/>
    <cellStyle name="Normal 2 5 4 2 3 2 2" xfId="9756" xr:uid="{5839D38A-80B7-4D06-9848-E41E2C8A0B1E}"/>
    <cellStyle name="Normal 2 5 4 2 3 3" xfId="7611" xr:uid="{F7AA934E-7C6F-45C4-96A1-C1120D7FA156}"/>
    <cellStyle name="Normal 2 5 4 2 3 4" xfId="3309" xr:uid="{C81E180D-277A-4CD0-8256-7E580E5C36F8}"/>
    <cellStyle name="Normal 2 5 4 2 3 5" xfId="2480" xr:uid="{9CECFFBD-77FE-465A-907D-7DBC449DE64F}"/>
    <cellStyle name="Normal 2 5 4 2 3 6" xfId="1651" xr:uid="{9CCB7173-571D-4005-BB74-0BE7F01094E5}"/>
    <cellStyle name="Normal 2 5 4 2 4" xfId="3722" xr:uid="{FC9F58D9-4F18-492C-AB2D-C982A1E1A015}"/>
    <cellStyle name="Normal 2 5 4 2 4 2" xfId="5951" xr:uid="{E4C1112A-EAA8-44CD-83C9-9CDE98B4786B}"/>
    <cellStyle name="Normal 2 5 4 2 4 2 2" xfId="10169" xr:uid="{A4C26AF1-9EA2-493C-94A6-6D8F1366CC19}"/>
    <cellStyle name="Normal 2 5 4 2 4 3" xfId="8024" xr:uid="{3CFED8D2-4FAD-494D-90B8-7DB70CE39E21}"/>
    <cellStyle name="Normal 2 5 4 2 5" xfId="4135" xr:uid="{E8BA4966-6B9C-4962-B756-97815A5D2349}"/>
    <cellStyle name="Normal 2 5 4 2 5 2" xfId="6364" xr:uid="{DA67F3FF-B8F5-4E67-8EB4-B01AE02283D6}"/>
    <cellStyle name="Normal 2 5 4 2 5 2 2" xfId="10582" xr:uid="{92AC9A9F-16D0-4488-BE24-5F381EA970B0}"/>
    <cellStyle name="Normal 2 5 4 2 5 3" xfId="8437" xr:uid="{76257BFB-C46F-49F3-8F07-629A6AE4FFE3}"/>
    <cellStyle name="Normal 2 5 4 2 6" xfId="4548" xr:uid="{56418234-9CC6-4273-B6E7-06BD564FB6B2}"/>
    <cellStyle name="Normal 2 5 4 2 6 2" xfId="6777" xr:uid="{64318332-6309-490D-8984-BCFCE3F56A5B}"/>
    <cellStyle name="Normal 2 5 4 2 6 2 2" xfId="10995" xr:uid="{FDEB010D-E4D7-4CFC-BC1E-BCDB4DE19029}"/>
    <cellStyle name="Normal 2 5 4 2 6 3" xfId="8850" xr:uid="{C49768AA-ADFA-4710-A916-5141418F6B2E}"/>
    <cellStyle name="Normal 2 5 4 2 7" xfId="4984" xr:uid="{4B69DADC-06C6-4A0D-BA00-87A32F7DAB93}"/>
    <cellStyle name="Normal 2 5 4 2 7 2" xfId="9263" xr:uid="{A0E223ED-4D26-4E87-9055-D6CAD5751A8F}"/>
    <cellStyle name="Normal 2 5 4 2 8" xfId="7197" xr:uid="{4CB09BC2-9782-40B3-9AB6-068F148A9BBF}"/>
    <cellStyle name="Normal 2 5 4 2 9" xfId="2893" xr:uid="{77A29AAC-65D7-4765-95A3-C7AD2C6D343F}"/>
    <cellStyle name="Normal 2 5 4 3" xfId="324" xr:uid="{00000000-0005-0000-0000-000031020000}"/>
    <cellStyle name="Normal 2 5 4 3 10" xfId="1237" xr:uid="{5C089C0F-DD1B-4448-BA77-611FABAB5325}"/>
    <cellStyle name="Normal 2 5 4 3 2" xfId="815" xr:uid="{00000000-0005-0000-0000-000032020000}"/>
    <cellStyle name="Normal 2 5 4 3 2 2" xfId="5540" xr:uid="{085C2934-AF19-4F0C-A53E-910A99B3937B}"/>
    <cellStyle name="Normal 2 5 4 3 2 2 2" xfId="9758" xr:uid="{B01B7BC1-3C87-4201-988F-368AE8054C92}"/>
    <cellStyle name="Normal 2 5 4 3 2 3" xfId="7613" xr:uid="{E2FAB35D-7398-4890-9098-FE8962B64E5B}"/>
    <cellStyle name="Normal 2 5 4 3 2 4" xfId="3311" xr:uid="{C8E9CB4D-6400-43E2-9F44-6B1179577FB7}"/>
    <cellStyle name="Normal 2 5 4 3 2 5" xfId="2482" xr:uid="{77920E6D-E805-4353-91CD-BF8FD51693FE}"/>
    <cellStyle name="Normal 2 5 4 3 2 6" xfId="1653" xr:uid="{931F70A1-ACCA-4029-AE1C-FD37C1EFC317}"/>
    <cellStyle name="Normal 2 5 4 3 3" xfId="3724" xr:uid="{2CCEFCCF-C003-4254-B4AE-3D9D9A9669DE}"/>
    <cellStyle name="Normal 2 5 4 3 3 2" xfId="5953" xr:uid="{8E832C3A-FB5F-4E80-AC06-ED73C54488AB}"/>
    <cellStyle name="Normal 2 5 4 3 3 2 2" xfId="10171" xr:uid="{C76DF088-E405-4164-A506-AEDD4D023FD4}"/>
    <cellStyle name="Normal 2 5 4 3 3 3" xfId="8026" xr:uid="{E68A86D0-985B-4514-9370-3115E712D187}"/>
    <cellStyle name="Normal 2 5 4 3 4" xfId="4137" xr:uid="{A3E0293F-C15F-4759-B546-5507C8DCDEA0}"/>
    <cellStyle name="Normal 2 5 4 3 4 2" xfId="6366" xr:uid="{8CB31143-0B13-4CB9-8996-C570A32FEE25}"/>
    <cellStyle name="Normal 2 5 4 3 4 2 2" xfId="10584" xr:uid="{BFD27E1C-391C-43C5-ACF5-95629ADDAD63}"/>
    <cellStyle name="Normal 2 5 4 3 4 3" xfId="8439" xr:uid="{60638D03-90FE-4CC0-978F-96180B9469C4}"/>
    <cellStyle name="Normal 2 5 4 3 5" xfId="4550" xr:uid="{5C87C6D7-FCAF-4335-898A-7C937C8C7879}"/>
    <cellStyle name="Normal 2 5 4 3 5 2" xfId="6779" xr:uid="{F699EA92-4B71-427C-B24B-DACF3B69AD1C}"/>
    <cellStyle name="Normal 2 5 4 3 5 2 2" xfId="10997" xr:uid="{E8F5F51A-BA1F-4C7D-A6C4-242A7E9603BF}"/>
    <cellStyle name="Normal 2 5 4 3 5 3" xfId="8852" xr:uid="{1D5619A5-F01C-430A-859A-BD5EF2A912D4}"/>
    <cellStyle name="Normal 2 5 4 3 6" xfId="4986" xr:uid="{72346E91-08C3-46F9-9A6C-6085BB63DA37}"/>
    <cellStyle name="Normal 2 5 4 3 6 2" xfId="9265" xr:uid="{2C8D430C-77B6-42AC-B181-779FBA48D3DC}"/>
    <cellStyle name="Normal 2 5 4 3 7" xfId="7199" xr:uid="{AC794D18-65D7-4D50-AD5B-4DF57FFBF314}"/>
    <cellStyle name="Normal 2 5 4 3 8" xfId="2895" xr:uid="{630E6D0A-AE5B-4A28-9551-A6E598E11381}"/>
    <cellStyle name="Normal 2 5 4 3 9" xfId="2066" xr:uid="{D44CF5C8-9977-4E22-B088-9FBD85062E56}"/>
    <cellStyle name="Normal 2 5 4 4" xfId="812" xr:uid="{00000000-0005-0000-0000-000033020000}"/>
    <cellStyle name="Normal 2 5 4 4 2" xfId="5537" xr:uid="{B2D3F65F-6A6D-4F6A-9ACB-8829369D2AE0}"/>
    <cellStyle name="Normal 2 5 4 4 2 2" xfId="9755" xr:uid="{3E491FF4-FEBD-40ED-9AC8-5880B48E42A0}"/>
    <cellStyle name="Normal 2 5 4 4 3" xfId="7610" xr:uid="{64BD4E41-E5AE-48CF-B0B4-B8C0D657AC1D}"/>
    <cellStyle name="Normal 2 5 4 4 4" xfId="3308" xr:uid="{AC9B9655-9B5A-4A5C-A745-B4F1CC324E7A}"/>
    <cellStyle name="Normal 2 5 4 4 5" xfId="2479" xr:uid="{5A93DF40-7508-4AED-8C7B-F98D13946FDA}"/>
    <cellStyle name="Normal 2 5 4 4 6" xfId="1650" xr:uid="{50764085-9114-4255-A99C-665D4895AB92}"/>
    <cellStyle name="Normal 2 5 4 5" xfId="3721" xr:uid="{8D071AB0-FE5A-4C40-BCBA-F7263D79A51E}"/>
    <cellStyle name="Normal 2 5 4 5 2" xfId="5950" xr:uid="{02C98D4B-0232-4447-9BF1-5286915726E4}"/>
    <cellStyle name="Normal 2 5 4 5 2 2" xfId="10168" xr:uid="{24EFAEDF-87B0-4C2E-8B59-86858356CA36}"/>
    <cellStyle name="Normal 2 5 4 5 3" xfId="8023" xr:uid="{1016EA6A-4D86-427A-84D4-A50797C35FC8}"/>
    <cellStyle name="Normal 2 5 4 6" xfId="4134" xr:uid="{713DD9DC-4D96-4321-97E8-824D98A4A253}"/>
    <cellStyle name="Normal 2 5 4 6 2" xfId="6363" xr:uid="{BB41D49B-70F4-4AE9-B468-F689281654A7}"/>
    <cellStyle name="Normal 2 5 4 6 2 2" xfId="10581" xr:uid="{9C35B9B6-9D2B-4E51-A192-10DF80A2DB92}"/>
    <cellStyle name="Normal 2 5 4 6 3" xfId="8436" xr:uid="{878E5513-1466-4DE4-B633-2B470EE3DEFA}"/>
    <cellStyle name="Normal 2 5 4 7" xfId="4547" xr:uid="{44A42555-C09C-4910-96E4-CC793D417557}"/>
    <cellStyle name="Normal 2 5 4 7 2" xfId="6776" xr:uid="{B6563D4C-9447-4E33-8362-34EAE7D51131}"/>
    <cellStyle name="Normal 2 5 4 7 2 2" xfId="10994" xr:uid="{41737651-1C35-4CD7-AE13-C93AA43B8AD1}"/>
    <cellStyle name="Normal 2 5 4 7 3" xfId="8849" xr:uid="{EAACA9B1-2CB4-4B65-A736-C8977FAD7454}"/>
    <cellStyle name="Normal 2 5 4 8" xfId="4983" xr:uid="{295CDE01-C943-4292-975E-53FC913B9E87}"/>
    <cellStyle name="Normal 2 5 4 8 2" xfId="9262" xr:uid="{2A6D43A7-4C73-4D1C-BAB8-6A1C4B547D46}"/>
    <cellStyle name="Normal 2 5 4 9" xfId="7196" xr:uid="{4A4A5BD3-BE15-4757-A9B4-C2BBABE0B795}"/>
    <cellStyle name="Normal 2 5 5" xfId="811" xr:uid="{00000000-0005-0000-0000-000034020000}"/>
    <cellStyle name="Normal 2 5 5 2" xfId="5536" xr:uid="{94D8A45D-8764-4E53-9004-8A668A506343}"/>
    <cellStyle name="Normal 2 5 5 2 2" xfId="9754" xr:uid="{135192D6-60C5-44B0-B3AF-1145CB12A072}"/>
    <cellStyle name="Normal 2 5 5 3" xfId="7609" xr:uid="{48EC0B04-AC69-4687-B252-B680AD66F613}"/>
    <cellStyle name="Normal 2 5 5 4" xfId="3307" xr:uid="{861F5393-3CA8-48EA-AE7F-1D24DBB73655}"/>
    <cellStyle name="Normal 2 5 5 5" xfId="2478" xr:uid="{34DCFBBA-D622-4362-857E-4B1FDEA33A3E}"/>
    <cellStyle name="Normal 2 5 5 6" xfId="1649" xr:uid="{C30B03E5-693F-410C-9944-D58F6A13AA84}"/>
    <cellStyle name="Normal 2 5 6" xfId="3720" xr:uid="{0EFDC9CA-00B6-4918-917F-86E3DC18D18B}"/>
    <cellStyle name="Normal 2 5 6 2" xfId="5949" xr:uid="{69AC1285-F182-40A0-B1AD-80DB35662729}"/>
    <cellStyle name="Normal 2 5 6 2 2" xfId="10167" xr:uid="{FAF23DAB-AE2B-43A4-B980-446A15259150}"/>
    <cellStyle name="Normal 2 5 6 3" xfId="8022" xr:uid="{84A9765E-F12C-4240-A028-DE85C65EF4F9}"/>
    <cellStyle name="Normal 2 5 7" xfId="4133" xr:uid="{C3635CA0-9083-48E7-89D0-25998677574D}"/>
    <cellStyle name="Normal 2 5 7 2" xfId="6362" xr:uid="{F4B9583F-ACC5-4887-8370-74A65A5A0997}"/>
    <cellStyle name="Normal 2 5 7 2 2" xfId="10580" xr:uid="{FFBE5C5B-1EB5-4E30-AB4A-A48BB9DCB3BD}"/>
    <cellStyle name="Normal 2 5 7 3" xfId="8435" xr:uid="{F8B819DB-8C61-422C-BCFF-00619A97DA8C}"/>
    <cellStyle name="Normal 2 5 8" xfId="4546" xr:uid="{2C1C7E48-FC57-493A-9E96-D10176A0F8B8}"/>
    <cellStyle name="Normal 2 5 8 2" xfId="6775" xr:uid="{DBFBD919-8AFA-4C71-943C-952ED378D792}"/>
    <cellStyle name="Normal 2 5 8 2 2" xfId="10993" xr:uid="{E075781B-7832-4246-BF35-CBE199D77485}"/>
    <cellStyle name="Normal 2 5 8 3" xfId="8848" xr:uid="{83E432D0-26EE-495D-8135-EC63DC6B7D70}"/>
    <cellStyle name="Normal 2 5 9" xfId="4982" xr:uid="{62886FF9-8F0B-473C-BC20-61A91B226E5D}"/>
    <cellStyle name="Normal 2 5 9 2" xfId="9261" xr:uid="{C510268E-30C2-431D-BA3C-45CD99C9AB0D}"/>
    <cellStyle name="Normal 2 6" xfId="325" xr:uid="{00000000-0005-0000-0000-000035020000}"/>
    <cellStyle name="Normal 2 7" xfId="3274" xr:uid="{2EC646DF-0B5C-40A5-B31D-E6D5D617AA9D}"/>
    <cellStyle name="Normal 2 8" xfId="574" xr:uid="{00000000-0005-0000-0000-000036020000}"/>
    <cellStyle name="Normal 3" xfId="326" xr:uid="{00000000-0005-0000-0000-000037020000}"/>
    <cellStyle name="Normal 3 2" xfId="327" xr:uid="{00000000-0005-0000-0000-000038020000}"/>
    <cellStyle name="Normal 3 2 10" xfId="2896" xr:uid="{AD72428B-C15F-482D-9969-14123456F29B}"/>
    <cellStyle name="Normal 3 2 11" xfId="2067" xr:uid="{4E751E03-6ABC-4B0C-AE30-892248EC543F}"/>
    <cellStyle name="Normal 3 2 12" xfId="1238" xr:uid="{E32D4938-24CD-4530-B67F-AAEAF097F55A}"/>
    <cellStyle name="Normal 3 2 2" xfId="328" xr:uid="{00000000-0005-0000-0000-000039020000}"/>
    <cellStyle name="Normal 3 2 2 2" xfId="818" xr:uid="{00000000-0005-0000-0000-00003A020000}"/>
    <cellStyle name="Normal 3 2 3" xfId="329" xr:uid="{00000000-0005-0000-0000-00003B020000}"/>
    <cellStyle name="Normal 3 2 3 10" xfId="2897" xr:uid="{39E02FD9-80D6-4916-A81B-C59D16617E5B}"/>
    <cellStyle name="Normal 3 2 3 11" xfId="2068" xr:uid="{049CEF94-DDF7-468E-975D-E25499918CB1}"/>
    <cellStyle name="Normal 3 2 3 12" xfId="1239" xr:uid="{1883EC83-29E9-4140-97FC-E5B15F4DCC4F}"/>
    <cellStyle name="Normal 3 2 3 2" xfId="330" xr:uid="{00000000-0005-0000-0000-00003C020000}"/>
    <cellStyle name="Normal 3 2 3 2 10" xfId="2069" xr:uid="{88E9A097-EC5A-4D3A-A8C1-BE9057BF3279}"/>
    <cellStyle name="Normal 3 2 3 2 11" xfId="1240" xr:uid="{ACD5E205-5F6C-45B2-A632-8846A0550020}"/>
    <cellStyle name="Normal 3 2 3 2 2" xfId="331" xr:uid="{00000000-0005-0000-0000-00003D020000}"/>
    <cellStyle name="Normal 3 2 3 2 2 10" xfId="1241" xr:uid="{04B78E67-F9E4-4ECD-A3A2-4A0DD1F5E0BE}"/>
    <cellStyle name="Normal 3 2 3 2 2 2" xfId="821" xr:uid="{00000000-0005-0000-0000-00003E020000}"/>
    <cellStyle name="Normal 3 2 3 2 2 2 2" xfId="5544" xr:uid="{9208C5A7-3180-4604-B777-C8B70384934E}"/>
    <cellStyle name="Normal 3 2 3 2 2 2 2 2" xfId="9762" xr:uid="{A2BB1C73-BF55-434E-A007-CD313D3BA9F2}"/>
    <cellStyle name="Normal 3 2 3 2 2 2 3" xfId="7617" xr:uid="{55763FEA-1821-4359-8A5D-A510E979C441}"/>
    <cellStyle name="Normal 3 2 3 2 2 2 4" xfId="3315" xr:uid="{75C070FA-91A1-47AF-BF09-7B6EACF55D45}"/>
    <cellStyle name="Normal 3 2 3 2 2 2 5" xfId="2486" xr:uid="{A845A949-9093-4186-970E-C032976DA40A}"/>
    <cellStyle name="Normal 3 2 3 2 2 2 6" xfId="1657" xr:uid="{E2F64F97-1EE3-4A2F-97A6-DE28E8402B4A}"/>
    <cellStyle name="Normal 3 2 3 2 2 3" xfId="3728" xr:uid="{012B18A7-9F37-42CF-AF9A-718274F3F206}"/>
    <cellStyle name="Normal 3 2 3 2 2 3 2" xfId="5957" xr:uid="{9F1764A7-DACC-4185-8EAA-45C2B7634054}"/>
    <cellStyle name="Normal 3 2 3 2 2 3 2 2" xfId="10175" xr:uid="{B00BA148-7992-45F6-AD07-1C04A87F9F32}"/>
    <cellStyle name="Normal 3 2 3 2 2 3 3" xfId="8030" xr:uid="{CA5E7A92-63F5-4C5E-92DF-BE0A1E74819F}"/>
    <cellStyle name="Normal 3 2 3 2 2 4" xfId="4141" xr:uid="{2146C8BB-488C-4CE0-B584-B3CB715B7FB8}"/>
    <cellStyle name="Normal 3 2 3 2 2 4 2" xfId="6370" xr:uid="{3AE5908B-4239-4A1D-A87D-13F31187837A}"/>
    <cellStyle name="Normal 3 2 3 2 2 4 2 2" xfId="10588" xr:uid="{9C326FE1-F5D8-492E-BF1C-9B6E64FFDA6C}"/>
    <cellStyle name="Normal 3 2 3 2 2 4 3" xfId="8443" xr:uid="{91AD1800-80EC-48D7-9DC9-96D860975D11}"/>
    <cellStyle name="Normal 3 2 3 2 2 5" xfId="4554" xr:uid="{C7074C46-B458-4811-8EEB-2D4E82E6B5B7}"/>
    <cellStyle name="Normal 3 2 3 2 2 5 2" xfId="6783" xr:uid="{02CFD003-4B85-4422-BDB9-DF37191EE751}"/>
    <cellStyle name="Normal 3 2 3 2 2 5 2 2" xfId="11001" xr:uid="{290E858C-F29E-4500-A7A6-61EDFA610706}"/>
    <cellStyle name="Normal 3 2 3 2 2 5 3" xfId="8856" xr:uid="{286ACA2C-C671-4B9E-966E-4F27BAF5C35E}"/>
    <cellStyle name="Normal 3 2 3 2 2 6" xfId="4990" xr:uid="{935F0F3F-50F8-407B-9218-FBDA7D9AC883}"/>
    <cellStyle name="Normal 3 2 3 2 2 6 2" xfId="9269" xr:uid="{5E914F00-0431-4CE6-89FB-130357ACCE7D}"/>
    <cellStyle name="Normal 3 2 3 2 2 7" xfId="7203" xr:uid="{F057B2CA-8181-49D2-AE09-ADD019C80C5F}"/>
    <cellStyle name="Normal 3 2 3 2 2 8" xfId="2899" xr:uid="{D35BE02D-BEAD-4867-AC08-ED8F08514BDC}"/>
    <cellStyle name="Normal 3 2 3 2 2 9" xfId="2070" xr:uid="{906C17B0-3C0A-4B29-8046-182AA2EF495C}"/>
    <cellStyle name="Normal 3 2 3 2 3" xfId="820" xr:uid="{00000000-0005-0000-0000-00003F020000}"/>
    <cellStyle name="Normal 3 2 3 2 3 2" xfId="5543" xr:uid="{554F7CD0-150A-46E1-BCC3-0F6B5528231F}"/>
    <cellStyle name="Normal 3 2 3 2 3 2 2" xfId="9761" xr:uid="{2657816E-8C1B-416F-8126-F231D188332B}"/>
    <cellStyle name="Normal 3 2 3 2 3 3" xfId="7616" xr:uid="{0065B57E-27DE-42AC-8CB0-BF0400DC4FFF}"/>
    <cellStyle name="Normal 3 2 3 2 3 4" xfId="3314" xr:uid="{EED52297-D4CA-461C-BC77-825D12A69734}"/>
    <cellStyle name="Normal 3 2 3 2 3 5" xfId="2485" xr:uid="{B51031B8-1A42-482B-AD1C-B493A029E32B}"/>
    <cellStyle name="Normal 3 2 3 2 3 6" xfId="1656" xr:uid="{1CEA7E27-1A5B-49EB-94A7-8EAC793E59F7}"/>
    <cellStyle name="Normal 3 2 3 2 4" xfId="3727" xr:uid="{CBCD6B75-BC3B-43C1-AF63-72DE0051B951}"/>
    <cellStyle name="Normal 3 2 3 2 4 2" xfId="5956" xr:uid="{3E18246F-BDA4-4D0E-A9EC-415FA18254E6}"/>
    <cellStyle name="Normal 3 2 3 2 4 2 2" xfId="10174" xr:uid="{3CC19C9E-EFF6-4DE7-B14B-0DCBBDAB354C}"/>
    <cellStyle name="Normal 3 2 3 2 4 3" xfId="8029" xr:uid="{B1530503-F679-40E4-A0B6-46B3656B029C}"/>
    <cellStyle name="Normal 3 2 3 2 5" xfId="4140" xr:uid="{0E53190B-CF97-45C4-AA25-328E5490A373}"/>
    <cellStyle name="Normal 3 2 3 2 5 2" xfId="6369" xr:uid="{65CFE82E-AA6F-4026-B4A0-9B7960B162A8}"/>
    <cellStyle name="Normal 3 2 3 2 5 2 2" xfId="10587" xr:uid="{99DC329D-DD14-451D-B552-0126CA04912E}"/>
    <cellStyle name="Normal 3 2 3 2 5 3" xfId="8442" xr:uid="{5C3034DE-AF19-415A-8BFC-DBE885319198}"/>
    <cellStyle name="Normal 3 2 3 2 6" xfId="4553" xr:uid="{F39BEE90-3493-499D-AD60-EF773ACB9053}"/>
    <cellStyle name="Normal 3 2 3 2 6 2" xfId="6782" xr:uid="{07338854-E4D1-4C23-90DB-AE5392EBF76F}"/>
    <cellStyle name="Normal 3 2 3 2 6 2 2" xfId="11000" xr:uid="{29CB8E52-5BAA-47EC-95B7-A1A9A40B9101}"/>
    <cellStyle name="Normal 3 2 3 2 6 3" xfId="8855" xr:uid="{7E1D7328-8D0E-4269-8FA8-A12555A89299}"/>
    <cellStyle name="Normal 3 2 3 2 7" xfId="4989" xr:uid="{BE0FA1A6-D7D9-4BA7-BCA0-C4E36E4CB6C2}"/>
    <cellStyle name="Normal 3 2 3 2 7 2" xfId="9268" xr:uid="{0686EB61-B626-4EF6-AAB7-E126046FFA80}"/>
    <cellStyle name="Normal 3 2 3 2 8" xfId="7202" xr:uid="{9D0A006F-892F-4CDC-8E3C-D837606384F5}"/>
    <cellStyle name="Normal 3 2 3 2 9" xfId="2898" xr:uid="{BDABAE48-8420-4E91-953B-C9ACE0BB1959}"/>
    <cellStyle name="Normal 3 2 3 3" xfId="332" xr:uid="{00000000-0005-0000-0000-000040020000}"/>
    <cellStyle name="Normal 3 2 3 3 10" xfId="1242" xr:uid="{4A5783C8-069B-4C2A-B1A2-BBA57FFD0D83}"/>
    <cellStyle name="Normal 3 2 3 3 2" xfId="822" xr:uid="{00000000-0005-0000-0000-000041020000}"/>
    <cellStyle name="Normal 3 2 3 3 2 2" xfId="5545" xr:uid="{930E5219-8E12-484E-81B0-0C900813BBF8}"/>
    <cellStyle name="Normal 3 2 3 3 2 2 2" xfId="9763" xr:uid="{DCD7627B-4B91-4A88-9B6A-8198D08714F8}"/>
    <cellStyle name="Normal 3 2 3 3 2 3" xfId="7618" xr:uid="{A864FE7C-F29E-4724-B2A6-3F74F6312B55}"/>
    <cellStyle name="Normal 3 2 3 3 2 4" xfId="3316" xr:uid="{37BC2530-60E2-42AA-9838-B9AF297B2137}"/>
    <cellStyle name="Normal 3 2 3 3 2 5" xfId="2487" xr:uid="{EA9DFD83-4606-4616-BCBA-7520B6DE1E79}"/>
    <cellStyle name="Normal 3 2 3 3 2 6" xfId="1658" xr:uid="{0BBBCC29-1207-4286-A2E7-8283CB3F7B9A}"/>
    <cellStyle name="Normal 3 2 3 3 3" xfId="3729" xr:uid="{DED34B25-306A-4CA3-A63C-EB243B4B39A7}"/>
    <cellStyle name="Normal 3 2 3 3 3 2" xfId="5958" xr:uid="{B6DB9D80-BAA9-49A0-B824-1AAC9F0715C8}"/>
    <cellStyle name="Normal 3 2 3 3 3 2 2" xfId="10176" xr:uid="{2BD1643C-9DEE-4C4B-AA87-885B45D9CAE0}"/>
    <cellStyle name="Normal 3 2 3 3 3 3" xfId="8031" xr:uid="{C9C34D80-0B68-4765-A636-874A2CAD4A24}"/>
    <cellStyle name="Normal 3 2 3 3 4" xfId="4142" xr:uid="{FDD15B9C-9BFA-4E3B-ABF1-6731FCE7D5D0}"/>
    <cellStyle name="Normal 3 2 3 3 4 2" xfId="6371" xr:uid="{D4AFB91F-B0B6-42DB-B044-ADFE9ADCA02D}"/>
    <cellStyle name="Normal 3 2 3 3 4 2 2" xfId="10589" xr:uid="{566A73EC-C33C-4F21-AADF-4A811075783A}"/>
    <cellStyle name="Normal 3 2 3 3 4 3" xfId="8444" xr:uid="{BB26CC08-4AB4-4CFE-A4EE-F2F1F281DC19}"/>
    <cellStyle name="Normal 3 2 3 3 5" xfId="4555" xr:uid="{2B21883F-C629-4C3B-BC1A-DFBD619101D6}"/>
    <cellStyle name="Normal 3 2 3 3 5 2" xfId="6784" xr:uid="{730A3B93-61E7-4E90-8796-A02BE5AC6FEB}"/>
    <cellStyle name="Normal 3 2 3 3 5 2 2" xfId="11002" xr:uid="{981B6937-CB0C-470A-A2A9-902181E66143}"/>
    <cellStyle name="Normal 3 2 3 3 5 3" xfId="8857" xr:uid="{AFB604DE-21F5-4532-9579-6AD91328F100}"/>
    <cellStyle name="Normal 3 2 3 3 6" xfId="4991" xr:uid="{A0E1260F-4D63-4C5E-8842-C68146ECDDFC}"/>
    <cellStyle name="Normal 3 2 3 3 6 2" xfId="9270" xr:uid="{B775FCDA-9CC1-4D5A-A7A7-0B6AAB92313D}"/>
    <cellStyle name="Normal 3 2 3 3 7" xfId="7204" xr:uid="{88AF0D16-1F6A-4F83-A5BF-C42806F5A295}"/>
    <cellStyle name="Normal 3 2 3 3 8" xfId="2900" xr:uid="{D93CE08E-38EF-44E7-BD51-2D320E5D2706}"/>
    <cellStyle name="Normal 3 2 3 3 9" xfId="2071" xr:uid="{F700BC2B-5921-41CA-8C2D-30537922BC98}"/>
    <cellStyle name="Normal 3 2 3 4" xfId="819" xr:uid="{00000000-0005-0000-0000-000042020000}"/>
    <cellStyle name="Normal 3 2 3 4 2" xfId="5542" xr:uid="{585AA8C1-1926-4E32-BAC8-6419C101CFDE}"/>
    <cellStyle name="Normal 3 2 3 4 2 2" xfId="9760" xr:uid="{62592EF5-00DF-4753-AF25-6BB356F8A1F6}"/>
    <cellStyle name="Normal 3 2 3 4 3" xfId="7615" xr:uid="{BC495F27-E61F-4D05-9178-573F48B2E8FD}"/>
    <cellStyle name="Normal 3 2 3 4 4" xfId="3313" xr:uid="{FC54B2DF-CB83-4686-8029-5D4FB3ADC8D1}"/>
    <cellStyle name="Normal 3 2 3 4 5" xfId="2484" xr:uid="{F5775BA8-10B0-4329-B435-800F72855E85}"/>
    <cellStyle name="Normal 3 2 3 4 6" xfId="1655" xr:uid="{C4E9E92F-43BC-428D-9CBE-96A7E8C60190}"/>
    <cellStyle name="Normal 3 2 3 5" xfId="3726" xr:uid="{2215258D-47C4-4CEE-AB19-301154A95D02}"/>
    <cellStyle name="Normal 3 2 3 5 2" xfId="5955" xr:uid="{32FABF98-E098-49A7-899E-EF33F254019C}"/>
    <cellStyle name="Normal 3 2 3 5 2 2" xfId="10173" xr:uid="{BC1EF58D-6618-4986-A1A8-8C29148DB892}"/>
    <cellStyle name="Normal 3 2 3 5 3" xfId="8028" xr:uid="{77FA7ED6-3860-4013-A9AB-230588EA7D38}"/>
    <cellStyle name="Normal 3 2 3 6" xfId="4139" xr:uid="{5BFD73C1-9D56-480C-85C1-7BB3A05F2424}"/>
    <cellStyle name="Normal 3 2 3 6 2" xfId="6368" xr:uid="{1A0DF294-FF1D-4A65-8EEB-D083E17692D3}"/>
    <cellStyle name="Normal 3 2 3 6 2 2" xfId="10586" xr:uid="{70499A33-A648-43A9-89E2-63B702658A4E}"/>
    <cellStyle name="Normal 3 2 3 6 3" xfId="8441" xr:uid="{25B4822D-21CD-421F-8BB8-8DE45C4A3D23}"/>
    <cellStyle name="Normal 3 2 3 7" xfId="4552" xr:uid="{14C2E7FF-3363-49F8-A7E0-7F435493A232}"/>
    <cellStyle name="Normal 3 2 3 7 2" xfId="6781" xr:uid="{9B067387-B611-4A5F-8706-70389EF1D462}"/>
    <cellStyle name="Normal 3 2 3 7 2 2" xfId="10999" xr:uid="{878C45B5-B532-4F9B-A860-38E4EE611672}"/>
    <cellStyle name="Normal 3 2 3 7 3" xfId="8854" xr:uid="{04FE9BDF-542E-4BE8-9374-72A18E5DFC41}"/>
    <cellStyle name="Normal 3 2 3 8" xfId="4988" xr:uid="{FFD608A5-E6FF-4AA4-93AB-DF06C5F36520}"/>
    <cellStyle name="Normal 3 2 3 8 2" xfId="9267" xr:uid="{BA00B3DF-2FE8-46AD-A93C-9B77E076667E}"/>
    <cellStyle name="Normal 3 2 3 9" xfId="7201" xr:uid="{9CEDA696-A357-4DEF-97A4-7223C73BBE1B}"/>
    <cellStyle name="Normal 3 2 4" xfId="817" xr:uid="{00000000-0005-0000-0000-000043020000}"/>
    <cellStyle name="Normal 3 2 4 2" xfId="5541" xr:uid="{9301085C-1DBA-4BE9-8896-E5DFE7F3E21C}"/>
    <cellStyle name="Normal 3 2 4 2 2" xfId="9759" xr:uid="{055FB79E-C9C0-4746-B9A8-CFE5D5926586}"/>
    <cellStyle name="Normal 3 2 4 3" xfId="7614" xr:uid="{63F7D926-ECC4-4D9B-BF1F-E98AE4146371}"/>
    <cellStyle name="Normal 3 2 4 4" xfId="3312" xr:uid="{01846C65-0F6F-4F13-A0D9-58D95D798B60}"/>
    <cellStyle name="Normal 3 2 4 5" xfId="2483" xr:uid="{104AB77D-B8CF-4847-A628-616B65ED3C56}"/>
    <cellStyle name="Normal 3 2 4 6" xfId="1654" xr:uid="{86856620-3335-4E62-9420-858AFC781DE6}"/>
    <cellStyle name="Normal 3 2 5" xfId="3725" xr:uid="{2E500E72-DF28-43CB-A21F-79E86AB7A652}"/>
    <cellStyle name="Normal 3 2 5 2" xfId="5954" xr:uid="{8B0022EA-0E4A-4DCE-813E-9538D7DAFE7D}"/>
    <cellStyle name="Normal 3 2 5 2 2" xfId="10172" xr:uid="{1DC55E24-A491-44CC-9083-6BCB9963238B}"/>
    <cellStyle name="Normal 3 2 5 3" xfId="8027" xr:uid="{C34A7AE5-B37C-43F2-94A8-58FD060E5430}"/>
    <cellStyle name="Normal 3 2 6" xfId="4138" xr:uid="{AEE7CB31-5706-4FEF-B19E-AE26538ACB82}"/>
    <cellStyle name="Normal 3 2 6 2" xfId="6367" xr:uid="{4574402F-4048-4FCE-A378-0EE6E2E438AF}"/>
    <cellStyle name="Normal 3 2 6 2 2" xfId="10585" xr:uid="{2CF5602C-DE45-418A-91AC-C00594EA546B}"/>
    <cellStyle name="Normal 3 2 6 3" xfId="8440" xr:uid="{7CD17DEC-38D0-465E-9306-DDE8E04D4DCF}"/>
    <cellStyle name="Normal 3 2 7" xfId="4551" xr:uid="{1DAEB91F-D071-4FCE-93D0-1E90118941AC}"/>
    <cellStyle name="Normal 3 2 7 2" xfId="6780" xr:uid="{A13AF095-8519-48ED-AF37-13E172DD9818}"/>
    <cellStyle name="Normal 3 2 7 2 2" xfId="10998" xr:uid="{C0E8F16A-090F-4586-B1CA-0E17C5D02D6E}"/>
    <cellStyle name="Normal 3 2 7 3" xfId="8853" xr:uid="{D2E71998-C7AC-4913-8A73-FED3B0C6A16E}"/>
    <cellStyle name="Normal 3 2 8" xfId="4987" xr:uid="{B87BFB5D-A79E-4AB5-9BD5-496CB355D8B5}"/>
    <cellStyle name="Normal 3 2 8 2" xfId="9266" xr:uid="{C7F026DC-E834-4EA1-BBE7-102A2D370FCD}"/>
    <cellStyle name="Normal 3 2 9" xfId="7200" xr:uid="{A9CE4D94-EB73-4CD4-B49B-A2774F17F4F9}"/>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34" xfId="11224" xr:uid="{FBA7D0A5-1CE1-4BCD-9CD7-CBDCA3F10971}"/>
    <cellStyle name="Normal 4" xfId="338" xr:uid="{00000000-0005-0000-0000-00004A020000}"/>
    <cellStyle name="Normal 4 10" xfId="2901" xr:uid="{F48C324C-1C3A-49DB-8F33-13A9F10655A0}"/>
    <cellStyle name="Normal 4 2" xfId="339" xr:uid="{00000000-0005-0000-0000-00004B020000}"/>
    <cellStyle name="Normal 4 2 2" xfId="340" xr:uid="{00000000-0005-0000-0000-00004C020000}"/>
    <cellStyle name="Normal 4 2 2 10" xfId="4556" xr:uid="{CBE09850-0F12-4E68-BB78-C2F93BD4DBCD}"/>
    <cellStyle name="Normal 4 2 2 10 2" xfId="6785" xr:uid="{8EF58BCB-F058-4F3D-83B3-DD0A9B8061C5}"/>
    <cellStyle name="Normal 4 2 2 10 2 2" xfId="11003" xr:uid="{3FF2BC6D-45C0-4DB0-B57F-1966DFF39221}"/>
    <cellStyle name="Normal 4 2 2 10 3" xfId="8858" xr:uid="{E1826AD0-B3D5-41E6-8609-A4A1D3DDB026}"/>
    <cellStyle name="Normal 4 2 2 11" xfId="4992" xr:uid="{D59AF8BE-E7D4-4A12-BF1A-75FE21DBBB0A}"/>
    <cellStyle name="Normal 4 2 2 11 2" xfId="9271" xr:uid="{DDAD1331-C5AA-44E6-BDE9-1D891D2FD0FE}"/>
    <cellStyle name="Normal 4 2 2 12" xfId="7206" xr:uid="{55C940C8-3283-4D26-B389-6FFE25241722}"/>
    <cellStyle name="Normal 4 2 2 13" xfId="2902" xr:uid="{5D23C130-74E7-40CF-A5BB-EAF963202CD5}"/>
    <cellStyle name="Normal 4 2 2 14" xfId="2072" xr:uid="{882CB62A-8244-4991-9B3D-56D6F36D3942}"/>
    <cellStyle name="Normal 4 2 2 15" xfId="1243" xr:uid="{3250C37D-414B-4F8C-A145-0F44DC182A9E}"/>
    <cellStyle name="Normal 4 2 2 2" xfId="341" xr:uid="{00000000-0005-0000-0000-00004D020000}"/>
    <cellStyle name="Normal 4 2 2 3" xfId="342" xr:uid="{00000000-0005-0000-0000-00004E020000}"/>
    <cellStyle name="Normal 4 2 2 3 10" xfId="7207" xr:uid="{182AA1B3-0751-46EB-BC0E-4A3E05D66657}"/>
    <cellStyle name="Normal 4 2 2 3 11" xfId="2903" xr:uid="{61F80A23-6E0C-4C62-8CC2-F3839277E4C5}"/>
    <cellStyle name="Normal 4 2 2 3 12" xfId="2073" xr:uid="{85768FE5-D9C6-4CBC-99DB-524E95A320B0}"/>
    <cellStyle name="Normal 4 2 2 3 13" xfId="1244" xr:uid="{76E833AA-E3AA-4261-AC15-A03C5227EDA4}"/>
    <cellStyle name="Normal 4 2 2 3 2" xfId="343" xr:uid="{00000000-0005-0000-0000-00004F020000}"/>
    <cellStyle name="Normal 4 2 2 3 2 10" xfId="2904" xr:uid="{6E9F1628-EF19-4B08-97D8-204CDC409A89}"/>
    <cellStyle name="Normal 4 2 2 3 2 11" xfId="2074" xr:uid="{83BE064E-3B50-433E-B171-63F85E0920DE}"/>
    <cellStyle name="Normal 4 2 2 3 2 12" xfId="1245" xr:uid="{8EE18F0C-F3EF-43D8-95A4-BEB569CCA08F}"/>
    <cellStyle name="Normal 4 2 2 3 2 2" xfId="344" xr:uid="{00000000-0005-0000-0000-000050020000}"/>
    <cellStyle name="Normal 4 2 2 3 2 2 10" xfId="2075" xr:uid="{610DCBA2-B1E8-40EB-9A49-7EA4E32B1FCA}"/>
    <cellStyle name="Normal 4 2 2 3 2 2 11" xfId="1246" xr:uid="{3EC5B50E-CE5D-428C-993E-7BEDFC8D198E}"/>
    <cellStyle name="Normal 4 2 2 3 2 2 2" xfId="345" xr:uid="{00000000-0005-0000-0000-000051020000}"/>
    <cellStyle name="Normal 4 2 2 3 2 2 2 10" xfId="1247" xr:uid="{DB990B40-96C5-43F7-B77E-8F09C7D8D75F}"/>
    <cellStyle name="Normal 4 2 2 3 2 2 2 2" xfId="827" xr:uid="{00000000-0005-0000-0000-000052020000}"/>
    <cellStyle name="Normal 4 2 2 3 2 2 2 2 2" xfId="5550" xr:uid="{9F8C1E46-CCE9-4949-A01F-ABB218230815}"/>
    <cellStyle name="Normal 4 2 2 3 2 2 2 2 2 2" xfId="9768" xr:uid="{15DF19A7-F1B2-443D-8589-CBC6BB2593F3}"/>
    <cellStyle name="Normal 4 2 2 3 2 2 2 2 3" xfId="7623" xr:uid="{48CDDDB8-BED5-47FB-8241-DF0E05E93E39}"/>
    <cellStyle name="Normal 4 2 2 3 2 2 2 2 4" xfId="3321" xr:uid="{EA513DD7-6763-4346-90B5-B8DBCE7E8B04}"/>
    <cellStyle name="Normal 4 2 2 3 2 2 2 2 5" xfId="2492" xr:uid="{D0CBF3C2-9957-4565-BDDD-7A68332D37AD}"/>
    <cellStyle name="Normal 4 2 2 3 2 2 2 2 6" xfId="1663" xr:uid="{2E1F8CC8-DB28-4256-81CE-40DCB99D155F}"/>
    <cellStyle name="Normal 4 2 2 3 2 2 2 3" xfId="3734" xr:uid="{4BDFAA3F-3BEC-4977-B5D7-8D05EF2BBCFF}"/>
    <cellStyle name="Normal 4 2 2 3 2 2 2 3 2" xfId="5963" xr:uid="{C71EC3B5-5A8C-4623-B490-F2018DFB01C9}"/>
    <cellStyle name="Normal 4 2 2 3 2 2 2 3 2 2" xfId="10181" xr:uid="{BFAF9A1F-5929-4227-81E2-64A28A1948D4}"/>
    <cellStyle name="Normal 4 2 2 3 2 2 2 3 3" xfId="8036" xr:uid="{CC71AE27-524F-40FD-B334-5F5EF46B5042}"/>
    <cellStyle name="Normal 4 2 2 3 2 2 2 4" xfId="4147" xr:uid="{7ED91E0D-23B3-4DE6-B8EE-B11000FFF303}"/>
    <cellStyle name="Normal 4 2 2 3 2 2 2 4 2" xfId="6376" xr:uid="{289231C1-D509-4466-B9D3-CE61528001E9}"/>
    <cellStyle name="Normal 4 2 2 3 2 2 2 4 2 2" xfId="10594" xr:uid="{2FDE06D8-B53E-46FB-9FE6-61A2E4A84122}"/>
    <cellStyle name="Normal 4 2 2 3 2 2 2 4 3" xfId="8449" xr:uid="{EF8A583E-ED68-4908-A9DB-5FBC84E2360B}"/>
    <cellStyle name="Normal 4 2 2 3 2 2 2 5" xfId="4560" xr:uid="{CF901BF3-7DE2-459F-A1B7-69EBFE75BE09}"/>
    <cellStyle name="Normal 4 2 2 3 2 2 2 5 2" xfId="6789" xr:uid="{08FFE533-8B9C-4F92-A9DA-73D9696905E3}"/>
    <cellStyle name="Normal 4 2 2 3 2 2 2 5 2 2" xfId="11007" xr:uid="{19495F70-896D-4B3E-90C0-752FAC75EF3A}"/>
    <cellStyle name="Normal 4 2 2 3 2 2 2 5 3" xfId="8862" xr:uid="{70D82E08-3EA4-4A24-BBD8-F0237B9DDD19}"/>
    <cellStyle name="Normal 4 2 2 3 2 2 2 6" xfId="4996" xr:uid="{F9484E1D-6473-4AE2-A573-C20464ED9E60}"/>
    <cellStyle name="Normal 4 2 2 3 2 2 2 6 2" xfId="9275" xr:uid="{8E9F7912-136A-4FF8-AB9E-E8080349D84A}"/>
    <cellStyle name="Normal 4 2 2 3 2 2 2 7" xfId="7210" xr:uid="{6E6FE5BB-3D00-4EA7-9946-82E9A67C902D}"/>
    <cellStyle name="Normal 4 2 2 3 2 2 2 8" xfId="2906" xr:uid="{B3CB1D26-8E17-4F23-BBB6-991322C204BC}"/>
    <cellStyle name="Normal 4 2 2 3 2 2 2 9" xfId="2076" xr:uid="{BA91F649-6DED-447E-B7B3-8CE775DD0E37}"/>
    <cellStyle name="Normal 4 2 2 3 2 2 3" xfId="826" xr:uid="{00000000-0005-0000-0000-000053020000}"/>
    <cellStyle name="Normal 4 2 2 3 2 2 3 2" xfId="5549" xr:uid="{351B2738-95C1-4DB3-BA99-7CAD1423B683}"/>
    <cellStyle name="Normal 4 2 2 3 2 2 3 2 2" xfId="9767" xr:uid="{8B4B5919-0A6B-4FC2-AE6C-0CC4663CA8B3}"/>
    <cellStyle name="Normal 4 2 2 3 2 2 3 3" xfId="7622" xr:uid="{B78D6928-FBCF-4DE8-AA80-F353A1C49182}"/>
    <cellStyle name="Normal 4 2 2 3 2 2 3 4" xfId="3320" xr:uid="{EE2636A0-5A83-4B8D-A1F4-49E06B6EBD06}"/>
    <cellStyle name="Normal 4 2 2 3 2 2 3 5" xfId="2491" xr:uid="{B0EBE2F2-D9D5-44C9-B9E5-6A16142C7F55}"/>
    <cellStyle name="Normal 4 2 2 3 2 2 3 6" xfId="1662" xr:uid="{9F37E14D-6A2C-4112-BDEA-03273C70D322}"/>
    <cellStyle name="Normal 4 2 2 3 2 2 4" xfId="3733" xr:uid="{9574B8BA-AC91-4AC2-BAD0-0A9B57BC030B}"/>
    <cellStyle name="Normal 4 2 2 3 2 2 4 2" xfId="5962" xr:uid="{50F9C67B-E582-41EE-8BB6-08187712DA67}"/>
    <cellStyle name="Normal 4 2 2 3 2 2 4 2 2" xfId="10180" xr:uid="{B02F1E6D-28E3-4C42-A630-A7771FBC64B3}"/>
    <cellStyle name="Normal 4 2 2 3 2 2 4 3" xfId="8035" xr:uid="{B923F08C-CBDA-47C1-91D9-958EB932203C}"/>
    <cellStyle name="Normal 4 2 2 3 2 2 5" xfId="4146" xr:uid="{98CF77FD-E5B7-4431-B769-0EF6C524CAD7}"/>
    <cellStyle name="Normal 4 2 2 3 2 2 5 2" xfId="6375" xr:uid="{0C51B515-9A00-4732-80CA-FD9F2B1A166C}"/>
    <cellStyle name="Normal 4 2 2 3 2 2 5 2 2" xfId="10593" xr:uid="{F442FF95-8260-4043-8483-486630E08181}"/>
    <cellStyle name="Normal 4 2 2 3 2 2 5 3" xfId="8448" xr:uid="{8E62E775-3F8E-456B-99A8-1515FE14F28A}"/>
    <cellStyle name="Normal 4 2 2 3 2 2 6" xfId="4559" xr:uid="{D9DADF74-2201-4A99-9606-823502C116D3}"/>
    <cellStyle name="Normal 4 2 2 3 2 2 6 2" xfId="6788" xr:uid="{B5B035D4-CD35-4ADA-A795-2EC5584E97FE}"/>
    <cellStyle name="Normal 4 2 2 3 2 2 6 2 2" xfId="11006" xr:uid="{0D4A55A2-7B69-4EF7-8A25-54EB45CE9197}"/>
    <cellStyle name="Normal 4 2 2 3 2 2 6 3" xfId="8861" xr:uid="{BD2E013C-2D65-4285-A613-8A98D66D92C2}"/>
    <cellStyle name="Normal 4 2 2 3 2 2 7" xfId="4995" xr:uid="{91E7428F-6D32-47B8-AAD2-EF6B6492ACE0}"/>
    <cellStyle name="Normal 4 2 2 3 2 2 7 2" xfId="9274" xr:uid="{DF463618-1608-467F-899F-A356671C3950}"/>
    <cellStyle name="Normal 4 2 2 3 2 2 8" xfId="7209" xr:uid="{5A008830-54C0-4DE7-9BD4-2094D16D4DAF}"/>
    <cellStyle name="Normal 4 2 2 3 2 2 9" xfId="2905" xr:uid="{61CE567A-06C1-4377-B620-E45B40D269D7}"/>
    <cellStyle name="Normal 4 2 2 3 2 3" xfId="346" xr:uid="{00000000-0005-0000-0000-000054020000}"/>
    <cellStyle name="Normal 4 2 2 3 2 3 10" xfId="1248" xr:uid="{4BB3992A-C45F-4A27-8910-52C176BBB705}"/>
    <cellStyle name="Normal 4 2 2 3 2 3 2" xfId="828" xr:uid="{00000000-0005-0000-0000-000055020000}"/>
    <cellStyle name="Normal 4 2 2 3 2 3 2 2" xfId="5551" xr:uid="{707103DE-E7E2-485C-AB39-41595654E3E2}"/>
    <cellStyle name="Normal 4 2 2 3 2 3 2 2 2" xfId="9769" xr:uid="{71F81868-F23A-48F8-9E01-5071F6085BCA}"/>
    <cellStyle name="Normal 4 2 2 3 2 3 2 3" xfId="7624" xr:uid="{58545593-AC7C-4CA1-A0D8-2A84A51C3840}"/>
    <cellStyle name="Normal 4 2 2 3 2 3 2 4" xfId="3322" xr:uid="{A85B1AD7-CEBF-447C-A669-44764C247D9B}"/>
    <cellStyle name="Normal 4 2 2 3 2 3 2 5" xfId="2493" xr:uid="{25721795-2E2B-4EBA-8702-F46B5C8A1D22}"/>
    <cellStyle name="Normal 4 2 2 3 2 3 2 6" xfId="1664" xr:uid="{0AC67B9C-E443-4635-BEB9-2B6F68782103}"/>
    <cellStyle name="Normal 4 2 2 3 2 3 3" xfId="3735" xr:uid="{FE692B20-A4ED-4F87-84F5-C7BB442847BD}"/>
    <cellStyle name="Normal 4 2 2 3 2 3 3 2" xfId="5964" xr:uid="{CE17505C-4B94-4D0A-9A1D-3DA13235DE62}"/>
    <cellStyle name="Normal 4 2 2 3 2 3 3 2 2" xfId="10182" xr:uid="{7C30F2D7-D622-4A3B-9F59-B3781E26A343}"/>
    <cellStyle name="Normal 4 2 2 3 2 3 3 3" xfId="8037" xr:uid="{6749AFE3-1D69-4C7B-BE72-1794BC44231B}"/>
    <cellStyle name="Normal 4 2 2 3 2 3 4" xfId="4148" xr:uid="{7EC22F10-9EAD-4871-A9CD-FBA5CBB00C84}"/>
    <cellStyle name="Normal 4 2 2 3 2 3 4 2" xfId="6377" xr:uid="{9715C563-9F38-4F97-8374-64260BFB1612}"/>
    <cellStyle name="Normal 4 2 2 3 2 3 4 2 2" xfId="10595" xr:uid="{C9A3B1F5-03F1-4031-9F4A-44276CC2FA6E}"/>
    <cellStyle name="Normal 4 2 2 3 2 3 4 3" xfId="8450" xr:uid="{9C2641FC-EFCA-4AA3-A4A8-865FBC7B4A34}"/>
    <cellStyle name="Normal 4 2 2 3 2 3 5" xfId="4561" xr:uid="{C87B0674-4822-4307-BA20-4E47F306A5CE}"/>
    <cellStyle name="Normal 4 2 2 3 2 3 5 2" xfId="6790" xr:uid="{3B8A4B9F-B168-4FAD-BACC-4854C675E9C9}"/>
    <cellStyle name="Normal 4 2 2 3 2 3 5 2 2" xfId="11008" xr:uid="{898AC8D5-69F4-4CB1-8786-DE96576D50A0}"/>
    <cellStyle name="Normal 4 2 2 3 2 3 5 3" xfId="8863" xr:uid="{B64FD377-42C8-4AA6-BECE-C290F211C49B}"/>
    <cellStyle name="Normal 4 2 2 3 2 3 6" xfId="4997" xr:uid="{46815215-8565-4F93-98BE-0F1DEAD561C3}"/>
    <cellStyle name="Normal 4 2 2 3 2 3 6 2" xfId="9276" xr:uid="{F8E61327-1B55-4B98-8FBC-D01C46A702FC}"/>
    <cellStyle name="Normal 4 2 2 3 2 3 7" xfId="7211" xr:uid="{E66EC758-97A3-4D93-B276-2A0B14234E19}"/>
    <cellStyle name="Normal 4 2 2 3 2 3 8" xfId="2907" xr:uid="{EE60C8BA-C0D6-4BA8-B230-F7D76C5171F0}"/>
    <cellStyle name="Normal 4 2 2 3 2 3 9" xfId="2077" xr:uid="{ABD7D9E6-8F3C-4903-9303-ECDF37C0690C}"/>
    <cellStyle name="Normal 4 2 2 3 2 4" xfId="825" xr:uid="{00000000-0005-0000-0000-000056020000}"/>
    <cellStyle name="Normal 4 2 2 3 2 4 2" xfId="5548" xr:uid="{9B965AAD-EC09-4B1C-A477-4C580D7D58D3}"/>
    <cellStyle name="Normal 4 2 2 3 2 4 2 2" xfId="9766" xr:uid="{49E16215-B8F9-443B-9962-953B1E096F3A}"/>
    <cellStyle name="Normal 4 2 2 3 2 4 3" xfId="7621" xr:uid="{2E44EF20-496F-4D9F-AC1D-6C1415F92BA8}"/>
    <cellStyle name="Normal 4 2 2 3 2 4 4" xfId="3319" xr:uid="{4A2364EC-1BDC-412E-8570-7730A8F69184}"/>
    <cellStyle name="Normal 4 2 2 3 2 4 5" xfId="2490" xr:uid="{08AA83CB-FEEF-4791-9288-1B5B1B3DD3CD}"/>
    <cellStyle name="Normal 4 2 2 3 2 4 6" xfId="1661" xr:uid="{8C61C713-302A-4B9B-B2E5-36E6A16B0DDB}"/>
    <cellStyle name="Normal 4 2 2 3 2 5" xfId="3732" xr:uid="{F51EA269-F7D5-437F-8449-D7B96CFC54D7}"/>
    <cellStyle name="Normal 4 2 2 3 2 5 2" xfId="5961" xr:uid="{C64EEDEE-4084-41AF-8839-1FBA097B771A}"/>
    <cellStyle name="Normal 4 2 2 3 2 5 2 2" xfId="10179" xr:uid="{445CAF95-F00E-4220-B948-33FF927561A6}"/>
    <cellStyle name="Normal 4 2 2 3 2 5 3" xfId="8034" xr:uid="{07DB552E-D8ED-41A2-B8E1-F8D3EF6329A0}"/>
    <cellStyle name="Normal 4 2 2 3 2 6" xfId="4145" xr:uid="{C22D362B-E28B-4C58-A028-5A5169B73D30}"/>
    <cellStyle name="Normal 4 2 2 3 2 6 2" xfId="6374" xr:uid="{D8BBF3A6-9E99-4B78-B03B-F4374D699D4D}"/>
    <cellStyle name="Normal 4 2 2 3 2 6 2 2" xfId="10592" xr:uid="{B9974881-E375-485F-AD20-089A48371D9B}"/>
    <cellStyle name="Normal 4 2 2 3 2 6 3" xfId="8447" xr:uid="{CB6B0ECA-D370-44A8-AC86-8DEFB25E5EBB}"/>
    <cellStyle name="Normal 4 2 2 3 2 7" xfId="4558" xr:uid="{BE99504B-DFD5-4DAB-A96F-60265875675B}"/>
    <cellStyle name="Normal 4 2 2 3 2 7 2" xfId="6787" xr:uid="{3E6E188D-BAF1-4A33-A722-38AFEC5DBB87}"/>
    <cellStyle name="Normal 4 2 2 3 2 7 2 2" xfId="11005" xr:uid="{1749B73F-EA38-4371-88FE-BB3EB2A67C56}"/>
    <cellStyle name="Normal 4 2 2 3 2 7 3" xfId="8860" xr:uid="{6B467B2F-8CEF-48A7-A924-3E022BF46799}"/>
    <cellStyle name="Normal 4 2 2 3 2 8" xfId="4994" xr:uid="{20D16456-97CF-4820-B084-967CD59DA4FF}"/>
    <cellStyle name="Normal 4 2 2 3 2 8 2" xfId="9273" xr:uid="{30A04FA4-57A0-4EBA-8009-B50728BB5C8E}"/>
    <cellStyle name="Normal 4 2 2 3 2 9" xfId="7208" xr:uid="{66820C54-9946-4471-9962-BE76DF793C2E}"/>
    <cellStyle name="Normal 4 2 2 3 3" xfId="347" xr:uid="{00000000-0005-0000-0000-000057020000}"/>
    <cellStyle name="Normal 4 2 2 3 3 10" xfId="2078" xr:uid="{DCCC847F-3165-4642-8013-209E690053C1}"/>
    <cellStyle name="Normal 4 2 2 3 3 11" xfId="1249" xr:uid="{5D32A069-2B2A-4D80-A990-328D95C08BC8}"/>
    <cellStyle name="Normal 4 2 2 3 3 2" xfId="348" xr:uid="{00000000-0005-0000-0000-000058020000}"/>
    <cellStyle name="Normal 4 2 2 3 3 2 10" xfId="1250" xr:uid="{BB6BC233-B089-4B68-9B9F-5014C4D39B97}"/>
    <cellStyle name="Normal 4 2 2 3 3 2 2" xfId="830" xr:uid="{00000000-0005-0000-0000-000059020000}"/>
    <cellStyle name="Normal 4 2 2 3 3 2 2 2" xfId="5553" xr:uid="{69B13FF7-3E40-4763-BA1E-AE26A82B6B4B}"/>
    <cellStyle name="Normal 4 2 2 3 3 2 2 2 2" xfId="9771" xr:uid="{3ACC0335-09AB-420F-B917-126EABE656E9}"/>
    <cellStyle name="Normal 4 2 2 3 3 2 2 3" xfId="7626" xr:uid="{8D558F70-0161-4B93-8977-0825E5A2FB94}"/>
    <cellStyle name="Normal 4 2 2 3 3 2 2 4" xfId="3324" xr:uid="{4663FDC3-496F-431C-B771-FDAD5FB9AA0C}"/>
    <cellStyle name="Normal 4 2 2 3 3 2 2 5" xfId="2495" xr:uid="{02A69A83-8B82-4A6F-B3B4-3EA5097F90CA}"/>
    <cellStyle name="Normal 4 2 2 3 3 2 2 6" xfId="1666" xr:uid="{3FF38135-71CA-48AA-9A9C-D19D40176C59}"/>
    <cellStyle name="Normal 4 2 2 3 3 2 3" xfId="3737" xr:uid="{BDFAFB77-DADE-4B69-9229-D1FB9DD7DDBF}"/>
    <cellStyle name="Normal 4 2 2 3 3 2 3 2" xfId="5966" xr:uid="{13689552-9D05-4994-8407-E8707AFF8962}"/>
    <cellStyle name="Normal 4 2 2 3 3 2 3 2 2" xfId="10184" xr:uid="{412EFD29-28FD-47AB-A13A-843C6895E89C}"/>
    <cellStyle name="Normal 4 2 2 3 3 2 3 3" xfId="8039" xr:uid="{65F71E77-8F58-403B-B5F7-CE997ADB50E6}"/>
    <cellStyle name="Normal 4 2 2 3 3 2 4" xfId="4150" xr:uid="{8ADEFA27-6D9C-449E-9D87-72422782DE21}"/>
    <cellStyle name="Normal 4 2 2 3 3 2 4 2" xfId="6379" xr:uid="{53204086-19CC-469A-85E6-074B7FF548DA}"/>
    <cellStyle name="Normal 4 2 2 3 3 2 4 2 2" xfId="10597" xr:uid="{22317109-7291-4075-8C22-761C3A4071F7}"/>
    <cellStyle name="Normal 4 2 2 3 3 2 4 3" xfId="8452" xr:uid="{9648FE0B-FDB2-41C5-BDC3-308A6BC290A9}"/>
    <cellStyle name="Normal 4 2 2 3 3 2 5" xfId="4563" xr:uid="{5BC5CD8F-2BAB-41AF-9F80-DDA1C649C260}"/>
    <cellStyle name="Normal 4 2 2 3 3 2 5 2" xfId="6792" xr:uid="{4AFA120D-EE46-4714-913F-4478CF9376D5}"/>
    <cellStyle name="Normal 4 2 2 3 3 2 5 2 2" xfId="11010" xr:uid="{C9EFD853-574F-4244-B6DF-B0394595AAAE}"/>
    <cellStyle name="Normal 4 2 2 3 3 2 5 3" xfId="8865" xr:uid="{AF5C30F5-D8F4-4ACC-B372-408162F27897}"/>
    <cellStyle name="Normal 4 2 2 3 3 2 6" xfId="4999" xr:uid="{E03788F6-4933-423E-AF2A-F808860BACDD}"/>
    <cellStyle name="Normal 4 2 2 3 3 2 6 2" xfId="9278" xr:uid="{7790F052-528A-4A6C-96CF-57A80FAA9138}"/>
    <cellStyle name="Normal 4 2 2 3 3 2 7" xfId="7213" xr:uid="{0D876B20-457A-413E-A8B9-6ED2678EB950}"/>
    <cellStyle name="Normal 4 2 2 3 3 2 8" xfId="2909" xr:uid="{18772EE3-A1A9-45A2-8257-92289D7450BF}"/>
    <cellStyle name="Normal 4 2 2 3 3 2 9" xfId="2079" xr:uid="{13B67325-2623-40A2-9CDB-98B40658453E}"/>
    <cellStyle name="Normal 4 2 2 3 3 3" xfId="829" xr:uid="{00000000-0005-0000-0000-00005A020000}"/>
    <cellStyle name="Normal 4 2 2 3 3 3 2" xfId="5552" xr:uid="{1FE71977-831F-451F-9294-83C9F46261F1}"/>
    <cellStyle name="Normal 4 2 2 3 3 3 2 2" xfId="9770" xr:uid="{406B402A-DDD7-4FFD-B58D-DEBCCE8B35DF}"/>
    <cellStyle name="Normal 4 2 2 3 3 3 3" xfId="7625" xr:uid="{E7425EF9-AB2A-41D1-8D9F-77940A101732}"/>
    <cellStyle name="Normal 4 2 2 3 3 3 4" xfId="3323" xr:uid="{F800258D-74FA-47B0-9D10-DE41332DE9A1}"/>
    <cellStyle name="Normal 4 2 2 3 3 3 5" xfId="2494" xr:uid="{3B8FF471-E4BD-41B2-933D-BACD5CFEAB93}"/>
    <cellStyle name="Normal 4 2 2 3 3 3 6" xfId="1665" xr:uid="{D83C1666-1EC5-4CD5-B376-F7A2DF04BD8C}"/>
    <cellStyle name="Normal 4 2 2 3 3 4" xfId="3736" xr:uid="{3BCF8B3F-0B78-4505-A49B-947CCF30F054}"/>
    <cellStyle name="Normal 4 2 2 3 3 4 2" xfId="5965" xr:uid="{11D098C4-6460-46B4-8188-926C8D06399A}"/>
    <cellStyle name="Normal 4 2 2 3 3 4 2 2" xfId="10183" xr:uid="{D938E117-E192-409D-9A88-F14A8ED5E8F2}"/>
    <cellStyle name="Normal 4 2 2 3 3 4 3" xfId="8038" xr:uid="{A5443D10-EAA8-4205-B993-8BF84E4660CE}"/>
    <cellStyle name="Normal 4 2 2 3 3 5" xfId="4149" xr:uid="{F951319E-2324-4A50-8B0F-4B94C4699366}"/>
    <cellStyle name="Normal 4 2 2 3 3 5 2" xfId="6378" xr:uid="{500CCD08-C13A-455B-9FE8-896B780F5271}"/>
    <cellStyle name="Normal 4 2 2 3 3 5 2 2" xfId="10596" xr:uid="{43F2C2B8-740C-4AAF-A225-87760FECC28E}"/>
    <cellStyle name="Normal 4 2 2 3 3 5 3" xfId="8451" xr:uid="{30A3D70D-C5A4-47B3-AF9A-04ABA1AEAFD0}"/>
    <cellStyle name="Normal 4 2 2 3 3 6" xfId="4562" xr:uid="{2866E5CC-9027-4CF7-B49C-9ACB4DEDA870}"/>
    <cellStyle name="Normal 4 2 2 3 3 6 2" xfId="6791" xr:uid="{381D692D-CD74-4926-B25D-25FDBADAA4BF}"/>
    <cellStyle name="Normal 4 2 2 3 3 6 2 2" xfId="11009" xr:uid="{A5193887-8973-4F1C-8574-9D59672AEDB4}"/>
    <cellStyle name="Normal 4 2 2 3 3 6 3" xfId="8864" xr:uid="{619D8701-466B-431C-B890-836315BB7582}"/>
    <cellStyle name="Normal 4 2 2 3 3 7" xfId="4998" xr:uid="{E9695B0F-D0DB-47E9-A5AB-1612AA5C37C8}"/>
    <cellStyle name="Normal 4 2 2 3 3 7 2" xfId="9277" xr:uid="{1C36EFB0-6D75-43CA-94E8-E01C649706AE}"/>
    <cellStyle name="Normal 4 2 2 3 3 8" xfId="7212" xr:uid="{81C05452-A318-48CB-9CF6-D2008BBC0211}"/>
    <cellStyle name="Normal 4 2 2 3 3 9" xfId="2908" xr:uid="{10C7E307-EB80-4B7F-8777-34CE210E45F5}"/>
    <cellStyle name="Normal 4 2 2 3 4" xfId="349" xr:uid="{00000000-0005-0000-0000-00005B020000}"/>
    <cellStyle name="Normal 4 2 2 3 4 10" xfId="1251" xr:uid="{33BAE299-E485-4523-8109-A20F12D82702}"/>
    <cellStyle name="Normal 4 2 2 3 4 2" xfId="831" xr:uid="{00000000-0005-0000-0000-00005C020000}"/>
    <cellStyle name="Normal 4 2 2 3 4 2 2" xfId="5554" xr:uid="{90F21AD3-FAB5-4501-BB3F-0CEA24648F20}"/>
    <cellStyle name="Normal 4 2 2 3 4 2 2 2" xfId="9772" xr:uid="{CC47C2B6-8E7C-468B-9BD9-1A80EED17581}"/>
    <cellStyle name="Normal 4 2 2 3 4 2 3" xfId="7627" xr:uid="{98F5BB72-E0AF-47B5-9A81-E1BD87D58A44}"/>
    <cellStyle name="Normal 4 2 2 3 4 2 4" xfId="3325" xr:uid="{ED62A42A-EFAA-4CB0-830C-1CC337EEF3A3}"/>
    <cellStyle name="Normal 4 2 2 3 4 2 5" xfId="2496" xr:uid="{9AC5344A-E3C4-408D-BD20-185FEC232195}"/>
    <cellStyle name="Normal 4 2 2 3 4 2 6" xfId="1667" xr:uid="{28D9C463-8F71-435E-986D-8A2A6B18794F}"/>
    <cellStyle name="Normal 4 2 2 3 4 3" xfId="3738" xr:uid="{DCBDD653-9DD5-4C01-8798-703F5012F57D}"/>
    <cellStyle name="Normal 4 2 2 3 4 3 2" xfId="5967" xr:uid="{2EDB9CAB-53EA-4D04-97BF-EF27758EE3BA}"/>
    <cellStyle name="Normal 4 2 2 3 4 3 2 2" xfId="10185" xr:uid="{6E2988A3-E85F-42E8-BB06-2AF590BBC4B5}"/>
    <cellStyle name="Normal 4 2 2 3 4 3 3" xfId="8040" xr:uid="{67945E11-4C58-4F30-9904-B690C868782B}"/>
    <cellStyle name="Normal 4 2 2 3 4 4" xfId="4151" xr:uid="{2FD50B68-6CF1-40A8-BABB-922427265D3D}"/>
    <cellStyle name="Normal 4 2 2 3 4 4 2" xfId="6380" xr:uid="{1E3506F0-E248-421E-BF7E-9A67EF563356}"/>
    <cellStyle name="Normal 4 2 2 3 4 4 2 2" xfId="10598" xr:uid="{FECFD6CA-BF2C-4FF6-B4D4-7EF764E8F707}"/>
    <cellStyle name="Normal 4 2 2 3 4 4 3" xfId="8453" xr:uid="{2A2EAFB8-28D3-4BBA-8BB5-A7499AC9A9C4}"/>
    <cellStyle name="Normal 4 2 2 3 4 5" xfId="4564" xr:uid="{2D50AF7C-1285-4038-95EF-E203DD8FD76B}"/>
    <cellStyle name="Normal 4 2 2 3 4 5 2" xfId="6793" xr:uid="{D9AAD0A7-4771-4971-A529-43C51D9279DB}"/>
    <cellStyle name="Normal 4 2 2 3 4 5 2 2" xfId="11011" xr:uid="{00816342-3A3E-4696-B802-C51CD4C190CE}"/>
    <cellStyle name="Normal 4 2 2 3 4 5 3" xfId="8866" xr:uid="{D595CF87-DAF2-4A16-A350-18062EC4D148}"/>
    <cellStyle name="Normal 4 2 2 3 4 6" xfId="5000" xr:uid="{3C4E057D-7279-47BC-B79E-EA20A37D1411}"/>
    <cellStyle name="Normal 4 2 2 3 4 6 2" xfId="9279" xr:uid="{903F65D5-F25B-4F1D-8B40-1BB8CF5D2C59}"/>
    <cellStyle name="Normal 4 2 2 3 4 7" xfId="7214" xr:uid="{F62202BE-819D-4857-9DBE-BA37E6B77682}"/>
    <cellStyle name="Normal 4 2 2 3 4 8" xfId="2910" xr:uid="{2704436E-060A-462A-BB2F-6F8D1164BCBE}"/>
    <cellStyle name="Normal 4 2 2 3 4 9" xfId="2080" xr:uid="{77D98E81-EBD0-4240-9048-CF92E54E6B51}"/>
    <cellStyle name="Normal 4 2 2 3 5" xfId="824" xr:uid="{00000000-0005-0000-0000-00005D020000}"/>
    <cellStyle name="Normal 4 2 2 3 5 2" xfId="5547" xr:uid="{1C976311-C34F-409C-A1E5-AE1D8EB21800}"/>
    <cellStyle name="Normal 4 2 2 3 5 2 2" xfId="9765" xr:uid="{58E02180-BE21-4C98-84E0-BFB3366DAE1D}"/>
    <cellStyle name="Normal 4 2 2 3 5 3" xfId="7620" xr:uid="{5315EE99-C562-456E-9D30-3E2E55D920C4}"/>
    <cellStyle name="Normal 4 2 2 3 5 4" xfId="3318" xr:uid="{8B8F71E4-3E1B-4C8A-8F00-D181B45B966F}"/>
    <cellStyle name="Normal 4 2 2 3 5 5" xfId="2489" xr:uid="{3E992F79-9EFB-4543-B383-BB1F5F14A708}"/>
    <cellStyle name="Normal 4 2 2 3 5 6" xfId="1660" xr:uid="{CA6A2FC8-1468-4F91-92A2-F8F8F6A9D36E}"/>
    <cellStyle name="Normal 4 2 2 3 6" xfId="3731" xr:uid="{4EB47744-1394-4188-A5D0-AF17FC85B1ED}"/>
    <cellStyle name="Normal 4 2 2 3 6 2" xfId="5960" xr:uid="{452ABDC9-5AF2-4242-B8CA-4C5C11D88DA3}"/>
    <cellStyle name="Normal 4 2 2 3 6 2 2" xfId="10178" xr:uid="{384C96DD-4F3C-4305-AD0F-E0086F4B6E2F}"/>
    <cellStyle name="Normal 4 2 2 3 6 3" xfId="8033" xr:uid="{50C0EE87-398B-4174-B06C-04F3247550F5}"/>
    <cellStyle name="Normal 4 2 2 3 7" xfId="4144" xr:uid="{F7637569-85B2-484F-B2CB-F418EAA96C28}"/>
    <cellStyle name="Normal 4 2 2 3 7 2" xfId="6373" xr:uid="{81B0BFA2-BEC9-431C-AA00-D63254929482}"/>
    <cellStyle name="Normal 4 2 2 3 7 2 2" xfId="10591" xr:uid="{28797DB6-F9A8-4E6B-903F-068BA9F9E166}"/>
    <cellStyle name="Normal 4 2 2 3 7 3" xfId="8446" xr:uid="{C73A7282-935A-4468-A8CC-2683C58570D0}"/>
    <cellStyle name="Normal 4 2 2 3 8" xfId="4557" xr:uid="{A1B2ACCF-3FD9-4B61-A1F2-D22928D117E5}"/>
    <cellStyle name="Normal 4 2 2 3 8 2" xfId="6786" xr:uid="{B5192229-D93E-4A9E-9763-C4347D8536CF}"/>
    <cellStyle name="Normal 4 2 2 3 8 2 2" xfId="11004" xr:uid="{6BE8A2DB-3585-4EEA-B15D-E565BF6FA0F1}"/>
    <cellStyle name="Normal 4 2 2 3 8 3" xfId="8859" xr:uid="{30FE9361-67A2-4E3A-BABE-81A3C0F33C3E}"/>
    <cellStyle name="Normal 4 2 2 3 9" xfId="4993" xr:uid="{956AA77C-4F6E-47C4-9214-A23EBEA48B99}"/>
    <cellStyle name="Normal 4 2 2 3 9 2" xfId="9272" xr:uid="{C42E2C2F-FF34-4E58-802C-CB015D396473}"/>
    <cellStyle name="Normal 4 2 2 4" xfId="350" xr:uid="{00000000-0005-0000-0000-00005E020000}"/>
    <cellStyle name="Normal 4 2 2 4 10" xfId="2911" xr:uid="{D068D27D-7D99-4C91-970B-B7FA605BD987}"/>
    <cellStyle name="Normal 4 2 2 4 11" xfId="2081" xr:uid="{F9899CA6-34A5-4A84-B53F-862510DDF555}"/>
    <cellStyle name="Normal 4 2 2 4 12" xfId="1252" xr:uid="{1292B033-23DA-40D9-A04D-8D035F8C00AE}"/>
    <cellStyle name="Normal 4 2 2 4 2" xfId="351" xr:uid="{00000000-0005-0000-0000-00005F020000}"/>
    <cellStyle name="Normal 4 2 2 4 2 10" xfId="2082" xr:uid="{99FDF282-6FCE-450D-8966-8933B608DBFA}"/>
    <cellStyle name="Normal 4 2 2 4 2 11" xfId="1253" xr:uid="{A4A49E7F-913B-4E0E-961A-9E0398507A7F}"/>
    <cellStyle name="Normal 4 2 2 4 2 2" xfId="352" xr:uid="{00000000-0005-0000-0000-000060020000}"/>
    <cellStyle name="Normal 4 2 2 4 2 2 10" xfId="1254" xr:uid="{72DCBFD5-0150-4F31-B2C4-72C0E4EBFCE8}"/>
    <cellStyle name="Normal 4 2 2 4 2 2 2" xfId="834" xr:uid="{00000000-0005-0000-0000-000061020000}"/>
    <cellStyle name="Normal 4 2 2 4 2 2 2 2" xfId="5557" xr:uid="{36B0366D-8BF2-4605-B810-F69CBB0080F6}"/>
    <cellStyle name="Normal 4 2 2 4 2 2 2 2 2" xfId="9775" xr:uid="{E4D2A7C0-5DE7-41E5-811D-56A5C4C447D8}"/>
    <cellStyle name="Normal 4 2 2 4 2 2 2 3" xfId="7630" xr:uid="{2EA1A828-1085-4C4B-B37B-4818DF4D6ED2}"/>
    <cellStyle name="Normal 4 2 2 4 2 2 2 4" xfId="3328" xr:uid="{5D97A2DF-429D-4151-B936-3165DD7368E4}"/>
    <cellStyle name="Normal 4 2 2 4 2 2 2 5" xfId="2499" xr:uid="{0FA1797C-8FB9-481E-89DC-4AC277D9297A}"/>
    <cellStyle name="Normal 4 2 2 4 2 2 2 6" xfId="1670" xr:uid="{8C5F0687-664A-42E4-8B39-55B4F2DF23DA}"/>
    <cellStyle name="Normal 4 2 2 4 2 2 3" xfId="3741" xr:uid="{A38FCC2B-F27D-46A0-A1C1-83C5227E7485}"/>
    <cellStyle name="Normal 4 2 2 4 2 2 3 2" xfId="5970" xr:uid="{10A5F6A7-EDBA-46B1-8C23-6CDFE02B35F1}"/>
    <cellStyle name="Normal 4 2 2 4 2 2 3 2 2" xfId="10188" xr:uid="{6AADA4CF-19A6-429A-87C5-9286CFCF9FE5}"/>
    <cellStyle name="Normal 4 2 2 4 2 2 3 3" xfId="8043" xr:uid="{4FC24417-2671-4579-9E99-10FB2063CD8F}"/>
    <cellStyle name="Normal 4 2 2 4 2 2 4" xfId="4154" xr:uid="{8BE87B32-E044-4852-BC29-B1DCF01A22E3}"/>
    <cellStyle name="Normal 4 2 2 4 2 2 4 2" xfId="6383" xr:uid="{4095F5C5-69A2-4829-8DDD-40FC42C59FFA}"/>
    <cellStyle name="Normal 4 2 2 4 2 2 4 2 2" xfId="10601" xr:uid="{B56B141D-8804-4A8F-B208-908251868A72}"/>
    <cellStyle name="Normal 4 2 2 4 2 2 4 3" xfId="8456" xr:uid="{4BCDE58C-50B4-4199-A62E-25FE88A840E8}"/>
    <cellStyle name="Normal 4 2 2 4 2 2 5" xfId="4567" xr:uid="{8426F518-4DE9-4126-8683-99F4E845D4DA}"/>
    <cellStyle name="Normal 4 2 2 4 2 2 5 2" xfId="6796" xr:uid="{80008047-19F2-4DD2-B775-63627BE8036A}"/>
    <cellStyle name="Normal 4 2 2 4 2 2 5 2 2" xfId="11014" xr:uid="{7AF4ED94-23EB-45C3-8313-6C75FAE3A4EB}"/>
    <cellStyle name="Normal 4 2 2 4 2 2 5 3" xfId="8869" xr:uid="{93602D91-E8B5-4B23-A94D-91A3FEF510DF}"/>
    <cellStyle name="Normal 4 2 2 4 2 2 6" xfId="5003" xr:uid="{CC142171-0742-4C5E-8853-9418F5FC9E8C}"/>
    <cellStyle name="Normal 4 2 2 4 2 2 6 2" xfId="9282" xr:uid="{08432042-3510-4980-B153-7740883EBAFC}"/>
    <cellStyle name="Normal 4 2 2 4 2 2 7" xfId="7217" xr:uid="{F1B65C0D-F36A-43B0-A580-61C95E5DEAC2}"/>
    <cellStyle name="Normal 4 2 2 4 2 2 8" xfId="2913" xr:uid="{593FF5EB-8D00-4A1D-B027-C2C53DF39DF6}"/>
    <cellStyle name="Normal 4 2 2 4 2 2 9" xfId="2083" xr:uid="{38EA9C79-2D79-4F83-829E-592CDF0F2459}"/>
    <cellStyle name="Normal 4 2 2 4 2 3" xfId="833" xr:uid="{00000000-0005-0000-0000-000062020000}"/>
    <cellStyle name="Normal 4 2 2 4 2 3 2" xfId="5556" xr:uid="{D950BB41-673B-4DD1-9A25-62CEA4057B9D}"/>
    <cellStyle name="Normal 4 2 2 4 2 3 2 2" xfId="9774" xr:uid="{87AE3847-F895-4BE6-9CC9-604EED151BE7}"/>
    <cellStyle name="Normal 4 2 2 4 2 3 3" xfId="7629" xr:uid="{A5A6FBBD-ACE9-499D-9D46-55BB61800766}"/>
    <cellStyle name="Normal 4 2 2 4 2 3 4" xfId="3327" xr:uid="{68C4CC7A-E2BD-45CA-8E3A-5FD8E27E7ADC}"/>
    <cellStyle name="Normal 4 2 2 4 2 3 5" xfId="2498" xr:uid="{CD164B35-37C0-4FBA-B862-D997B10F1913}"/>
    <cellStyle name="Normal 4 2 2 4 2 3 6" xfId="1669" xr:uid="{3605CB5C-493E-4332-A43B-BB4A03F1D5D8}"/>
    <cellStyle name="Normal 4 2 2 4 2 4" xfId="3740" xr:uid="{932A7D14-1211-4A1E-B997-3778148E604F}"/>
    <cellStyle name="Normal 4 2 2 4 2 4 2" xfId="5969" xr:uid="{363CC0C5-0CC5-406A-BF90-60E2D57944EE}"/>
    <cellStyle name="Normal 4 2 2 4 2 4 2 2" xfId="10187" xr:uid="{0B6C6CB2-C07F-4282-A901-EAB1DB3FDF6C}"/>
    <cellStyle name="Normal 4 2 2 4 2 4 3" xfId="8042" xr:uid="{5CB2B6CB-EB22-4624-A8A0-1415A816CB83}"/>
    <cellStyle name="Normal 4 2 2 4 2 5" xfId="4153" xr:uid="{1BF2D624-4A92-42EC-939E-E4EA4BDF82A8}"/>
    <cellStyle name="Normal 4 2 2 4 2 5 2" xfId="6382" xr:uid="{C5D39FD4-C8F7-4A44-84DE-6ECBA35FE33E}"/>
    <cellStyle name="Normal 4 2 2 4 2 5 2 2" xfId="10600" xr:uid="{E44B66E4-0C39-4A5E-ADB5-C19A1870D0EA}"/>
    <cellStyle name="Normal 4 2 2 4 2 5 3" xfId="8455" xr:uid="{736CB0EB-9913-42E8-A207-D9F18877ABAF}"/>
    <cellStyle name="Normal 4 2 2 4 2 6" xfId="4566" xr:uid="{2A328419-526A-4327-8C35-FCDEB122C14F}"/>
    <cellStyle name="Normal 4 2 2 4 2 6 2" xfId="6795" xr:uid="{613C7236-F4AA-4FE1-9E48-8194A473C370}"/>
    <cellStyle name="Normal 4 2 2 4 2 6 2 2" xfId="11013" xr:uid="{C836CB74-321A-485D-8DE1-3ED2BC5A055B}"/>
    <cellStyle name="Normal 4 2 2 4 2 6 3" xfId="8868" xr:uid="{11B51D78-DA9C-4474-BBCA-7B7443E77E39}"/>
    <cellStyle name="Normal 4 2 2 4 2 7" xfId="5002" xr:uid="{2CD5B32A-99E5-49C3-A644-078C9F2FB301}"/>
    <cellStyle name="Normal 4 2 2 4 2 7 2" xfId="9281" xr:uid="{7CE3636C-5C2F-41C1-9388-66AED36A57B0}"/>
    <cellStyle name="Normal 4 2 2 4 2 8" xfId="7216" xr:uid="{B7095824-2931-4318-B25C-5E8392836679}"/>
    <cellStyle name="Normal 4 2 2 4 2 9" xfId="2912" xr:uid="{07BD8D48-E565-4A3B-984A-8346006F1D46}"/>
    <cellStyle name="Normal 4 2 2 4 3" xfId="353" xr:uid="{00000000-0005-0000-0000-000063020000}"/>
    <cellStyle name="Normal 4 2 2 4 3 10" xfId="1255" xr:uid="{050A8C48-0302-4D14-965D-CB34DCCFDE42}"/>
    <cellStyle name="Normal 4 2 2 4 3 2" xfId="835" xr:uid="{00000000-0005-0000-0000-000064020000}"/>
    <cellStyle name="Normal 4 2 2 4 3 2 2" xfId="5558" xr:uid="{CD66C2B5-FFD4-49AD-8C4E-9550292E9F41}"/>
    <cellStyle name="Normal 4 2 2 4 3 2 2 2" xfId="9776" xr:uid="{3D70BCC6-4A2E-41EB-80D4-B51C6D7B6E68}"/>
    <cellStyle name="Normal 4 2 2 4 3 2 3" xfId="7631" xr:uid="{9C098B40-2AE3-407E-8FF1-B9A09AC7FDD2}"/>
    <cellStyle name="Normal 4 2 2 4 3 2 4" xfId="3329" xr:uid="{307E89C4-D977-47AA-98BC-2D489BC806E6}"/>
    <cellStyle name="Normal 4 2 2 4 3 2 5" xfId="2500" xr:uid="{25BAC3D7-547E-4847-83A7-84E0E436A718}"/>
    <cellStyle name="Normal 4 2 2 4 3 2 6" xfId="1671" xr:uid="{0DB025B1-70F1-4DAF-BFEB-D71CD740BB64}"/>
    <cellStyle name="Normal 4 2 2 4 3 3" xfId="3742" xr:uid="{2A02B3CC-4CD4-4A9C-8B1C-A749C91CCAB1}"/>
    <cellStyle name="Normal 4 2 2 4 3 3 2" xfId="5971" xr:uid="{32534B1A-DD2E-4971-AB05-5E9058150D00}"/>
    <cellStyle name="Normal 4 2 2 4 3 3 2 2" xfId="10189" xr:uid="{751E0137-8AF0-4783-A884-67C7110A1F7B}"/>
    <cellStyle name="Normal 4 2 2 4 3 3 3" xfId="8044" xr:uid="{98786C98-E772-4880-AB59-2B1C55A7C80B}"/>
    <cellStyle name="Normal 4 2 2 4 3 4" xfId="4155" xr:uid="{5F5C7761-B3F7-4EAE-815F-8AA201B9557A}"/>
    <cellStyle name="Normal 4 2 2 4 3 4 2" xfId="6384" xr:uid="{D52D7B41-6B9A-40D6-8A35-7F82164014A6}"/>
    <cellStyle name="Normal 4 2 2 4 3 4 2 2" xfId="10602" xr:uid="{2878E3DD-7170-4674-8D8D-17BEAF54B5D1}"/>
    <cellStyle name="Normal 4 2 2 4 3 4 3" xfId="8457" xr:uid="{92589660-0911-4960-9AEE-B71AB9E359EF}"/>
    <cellStyle name="Normal 4 2 2 4 3 5" xfId="4568" xr:uid="{F98D388A-5DAC-48EB-BDED-A66BF173F4C6}"/>
    <cellStyle name="Normal 4 2 2 4 3 5 2" xfId="6797" xr:uid="{2FB7D724-72FC-427A-9432-87C35EAD3A51}"/>
    <cellStyle name="Normal 4 2 2 4 3 5 2 2" xfId="11015" xr:uid="{E6A5BC52-DDEA-4F88-885E-0FD73AB6407B}"/>
    <cellStyle name="Normal 4 2 2 4 3 5 3" xfId="8870" xr:uid="{39E81032-D9CC-4599-9B1C-75F28B4E7D24}"/>
    <cellStyle name="Normal 4 2 2 4 3 6" xfId="5004" xr:uid="{F8BDBA72-871A-4ED3-A25F-3D994B1E8E94}"/>
    <cellStyle name="Normal 4 2 2 4 3 6 2" xfId="9283" xr:uid="{4949821D-D9CE-4F08-B428-6FF0657926F4}"/>
    <cellStyle name="Normal 4 2 2 4 3 7" xfId="7218" xr:uid="{B27088AE-ADDC-4242-8C95-C858254E5AA4}"/>
    <cellStyle name="Normal 4 2 2 4 3 8" xfId="2914" xr:uid="{391A5047-59B1-462B-B56B-9E7886423CEC}"/>
    <cellStyle name="Normal 4 2 2 4 3 9" xfId="2084" xr:uid="{DAEB9A0F-18D9-42B2-B222-90786E9FB365}"/>
    <cellStyle name="Normal 4 2 2 4 4" xfId="832" xr:uid="{00000000-0005-0000-0000-000065020000}"/>
    <cellStyle name="Normal 4 2 2 4 4 2" xfId="5555" xr:uid="{8EA158CA-3E79-49D5-B15D-73A37516DF6A}"/>
    <cellStyle name="Normal 4 2 2 4 4 2 2" xfId="9773" xr:uid="{73C0E9B3-76AB-4BE1-A3C1-4798A0324946}"/>
    <cellStyle name="Normal 4 2 2 4 4 3" xfId="7628" xr:uid="{002D24E2-6D88-40FA-AF45-85CEF098DDF4}"/>
    <cellStyle name="Normal 4 2 2 4 4 4" xfId="3326" xr:uid="{B5341790-5174-4988-8A31-3B77CE5D8E0C}"/>
    <cellStyle name="Normal 4 2 2 4 4 5" xfId="2497" xr:uid="{A378E44A-3271-409D-A600-5FBB5E832278}"/>
    <cellStyle name="Normal 4 2 2 4 4 6" xfId="1668" xr:uid="{35E6903C-5412-471B-967F-24C12F8AD0D8}"/>
    <cellStyle name="Normal 4 2 2 4 5" xfId="3739" xr:uid="{C125DC7C-35B2-4CFE-AD8E-5C9DD89C07D8}"/>
    <cellStyle name="Normal 4 2 2 4 5 2" xfId="5968" xr:uid="{B2FF1B90-0702-4E29-BD43-FACB0F69809C}"/>
    <cellStyle name="Normal 4 2 2 4 5 2 2" xfId="10186" xr:uid="{D3282269-922F-48EB-99E1-FA1702BC6900}"/>
    <cellStyle name="Normal 4 2 2 4 5 3" xfId="8041" xr:uid="{87878892-6AFC-4939-ABAF-AA1B986BD7DC}"/>
    <cellStyle name="Normal 4 2 2 4 6" xfId="4152" xr:uid="{8FEDB41E-35F0-4C21-AE49-BE2E097AD63D}"/>
    <cellStyle name="Normal 4 2 2 4 6 2" xfId="6381" xr:uid="{8693B7EE-6B4A-492A-8319-E14A0C04D18C}"/>
    <cellStyle name="Normal 4 2 2 4 6 2 2" xfId="10599" xr:uid="{F402FAE8-60D2-4881-855E-EC8A841B0873}"/>
    <cellStyle name="Normal 4 2 2 4 6 3" xfId="8454" xr:uid="{CA27638C-5DCD-4D4E-82D9-4DF0F181E87E}"/>
    <cellStyle name="Normal 4 2 2 4 7" xfId="4565" xr:uid="{93D5CD48-C789-48E7-B238-BE67074AEB4B}"/>
    <cellStyle name="Normal 4 2 2 4 7 2" xfId="6794" xr:uid="{8BBA76AC-A39E-4474-A8DA-BEC6C36F76CF}"/>
    <cellStyle name="Normal 4 2 2 4 7 2 2" xfId="11012" xr:uid="{52725A58-A174-4A68-84AF-5612E1971956}"/>
    <cellStyle name="Normal 4 2 2 4 7 3" xfId="8867" xr:uid="{5603B3BC-8FA7-493B-9090-E9876CE98C4E}"/>
    <cellStyle name="Normal 4 2 2 4 8" xfId="5001" xr:uid="{8A014230-BD07-4625-BD92-D74066D252BA}"/>
    <cellStyle name="Normal 4 2 2 4 8 2" xfId="9280" xr:uid="{A8E5C9D9-C9CD-4E3B-9F7F-75E1178A91A5}"/>
    <cellStyle name="Normal 4 2 2 4 9" xfId="7215" xr:uid="{26DB8A92-8642-47B9-9B1A-FE34E4A2BCC4}"/>
    <cellStyle name="Normal 4 2 2 5" xfId="354" xr:uid="{00000000-0005-0000-0000-000066020000}"/>
    <cellStyle name="Normal 4 2 2 5 10" xfId="2085" xr:uid="{1FBC9015-CEE1-4953-809D-707B835B6CBD}"/>
    <cellStyle name="Normal 4 2 2 5 11" xfId="1256" xr:uid="{FB5FE7EB-91D7-467D-8A17-5808CCFC3D2B}"/>
    <cellStyle name="Normal 4 2 2 5 2" xfId="355" xr:uid="{00000000-0005-0000-0000-000067020000}"/>
    <cellStyle name="Normal 4 2 2 5 2 10" xfId="1257" xr:uid="{AC0E747B-B0B3-4765-8D26-9F2313145C9A}"/>
    <cellStyle name="Normal 4 2 2 5 2 2" xfId="837" xr:uid="{00000000-0005-0000-0000-000068020000}"/>
    <cellStyle name="Normal 4 2 2 5 2 2 2" xfId="5560" xr:uid="{73D90C62-8130-4E09-B01B-D2F99D3AA501}"/>
    <cellStyle name="Normal 4 2 2 5 2 2 2 2" xfId="9778" xr:uid="{337CDD9C-5A8A-4F7E-A111-8DE8CD7692DA}"/>
    <cellStyle name="Normal 4 2 2 5 2 2 3" xfId="7633" xr:uid="{354EB06A-B47C-46D7-B879-58E3EDA4E03E}"/>
    <cellStyle name="Normal 4 2 2 5 2 2 4" xfId="3331" xr:uid="{BEF6F3E2-FD59-4406-B739-0C805FF2726F}"/>
    <cellStyle name="Normal 4 2 2 5 2 2 5" xfId="2502" xr:uid="{9D90889F-53A2-43EC-BB9B-20062FC15237}"/>
    <cellStyle name="Normal 4 2 2 5 2 2 6" xfId="1673" xr:uid="{FF638EB1-FCE4-4280-92B4-B6CA49B3B103}"/>
    <cellStyle name="Normal 4 2 2 5 2 3" xfId="3744" xr:uid="{1265411B-1080-4F5B-AF9B-B8615EB41AD1}"/>
    <cellStyle name="Normal 4 2 2 5 2 3 2" xfId="5973" xr:uid="{1B315590-2D8A-4ED8-9D23-E2509CFCF136}"/>
    <cellStyle name="Normal 4 2 2 5 2 3 2 2" xfId="10191" xr:uid="{B3CC056E-7F74-46E5-9E36-239DC0AD983B}"/>
    <cellStyle name="Normal 4 2 2 5 2 3 3" xfId="8046" xr:uid="{3431A5AA-12F3-4BEC-8882-F2F114ADC223}"/>
    <cellStyle name="Normal 4 2 2 5 2 4" xfId="4157" xr:uid="{9EE7A595-7CCC-422E-982B-EE8683EBB231}"/>
    <cellStyle name="Normal 4 2 2 5 2 4 2" xfId="6386" xr:uid="{0069705C-AF28-422B-AFA3-2D2BBACAA13B}"/>
    <cellStyle name="Normal 4 2 2 5 2 4 2 2" xfId="10604" xr:uid="{D5185068-3717-4816-A2D4-E1D42908B5E9}"/>
    <cellStyle name="Normal 4 2 2 5 2 4 3" xfId="8459" xr:uid="{CB542DEB-4084-4827-A32B-885F967C2C20}"/>
    <cellStyle name="Normal 4 2 2 5 2 5" xfId="4570" xr:uid="{F5C2A1DB-3DC0-47CA-BC1D-B2F1CF264F5C}"/>
    <cellStyle name="Normal 4 2 2 5 2 5 2" xfId="6799" xr:uid="{5A369AB9-06B6-4E5C-9633-6A6748F47B22}"/>
    <cellStyle name="Normal 4 2 2 5 2 5 2 2" xfId="11017" xr:uid="{4F54A6E8-B791-4184-8C2D-9765F7005B25}"/>
    <cellStyle name="Normal 4 2 2 5 2 5 3" xfId="8872" xr:uid="{0D8B5827-5DFE-4319-BA44-C7209BDDC318}"/>
    <cellStyle name="Normal 4 2 2 5 2 6" xfId="5006" xr:uid="{6A3FB3BE-1A2D-47E8-8B7A-D56E24F16922}"/>
    <cellStyle name="Normal 4 2 2 5 2 6 2" xfId="9285" xr:uid="{AE5A7099-6FC4-4E2C-A0C4-55C580044F8E}"/>
    <cellStyle name="Normal 4 2 2 5 2 7" xfId="7220" xr:uid="{FD177DDF-A9CA-4420-ADDF-79B786889BD6}"/>
    <cellStyle name="Normal 4 2 2 5 2 8" xfId="2916" xr:uid="{8688BB65-B9D5-41EF-B97B-F4C7A0F32B5A}"/>
    <cellStyle name="Normal 4 2 2 5 2 9" xfId="2086" xr:uid="{119D23BD-C474-4FA0-A076-1383A83CED7C}"/>
    <cellStyle name="Normal 4 2 2 5 3" xfId="836" xr:uid="{00000000-0005-0000-0000-000069020000}"/>
    <cellStyle name="Normal 4 2 2 5 3 2" xfId="5559" xr:uid="{02DD768D-BDD9-41C5-920D-84C88969C7A1}"/>
    <cellStyle name="Normal 4 2 2 5 3 2 2" xfId="9777" xr:uid="{8E05B2CF-9928-4DEE-8531-2C52EEA7A942}"/>
    <cellStyle name="Normal 4 2 2 5 3 3" xfId="7632" xr:uid="{CAB9C889-8D04-4FA0-92BE-DF2D0D9F6332}"/>
    <cellStyle name="Normal 4 2 2 5 3 4" xfId="3330" xr:uid="{A96BB3BD-09F7-469B-85F4-122BF419D9BA}"/>
    <cellStyle name="Normal 4 2 2 5 3 5" xfId="2501" xr:uid="{86CB4C24-DACB-4B8B-97F7-B55EC510126D}"/>
    <cellStyle name="Normal 4 2 2 5 3 6" xfId="1672" xr:uid="{FBED33BE-A198-4DDF-962A-813593289883}"/>
    <cellStyle name="Normal 4 2 2 5 4" xfId="3743" xr:uid="{2F4CC5B6-72D0-48E0-86A9-554786309318}"/>
    <cellStyle name="Normal 4 2 2 5 4 2" xfId="5972" xr:uid="{01142961-8A75-4F61-96E7-B4E78B0C8E6D}"/>
    <cellStyle name="Normal 4 2 2 5 4 2 2" xfId="10190" xr:uid="{E334E6C0-E606-4E39-AEB3-3FA9F21EFF24}"/>
    <cellStyle name="Normal 4 2 2 5 4 3" xfId="8045" xr:uid="{91D93F41-DC05-4405-B924-7BB78AE97408}"/>
    <cellStyle name="Normal 4 2 2 5 5" xfId="4156" xr:uid="{6C504BB3-1C00-410D-8AD2-2BFEC1EBE584}"/>
    <cellStyle name="Normal 4 2 2 5 5 2" xfId="6385" xr:uid="{13563013-841C-445E-AB4B-896B4CA4C8D9}"/>
    <cellStyle name="Normal 4 2 2 5 5 2 2" xfId="10603" xr:uid="{F9A2E49C-F764-430A-ABE5-B463BBAD4217}"/>
    <cellStyle name="Normal 4 2 2 5 5 3" xfId="8458" xr:uid="{54E9DA8E-F0C2-4376-A37A-86B9997242E7}"/>
    <cellStyle name="Normal 4 2 2 5 6" xfId="4569" xr:uid="{FEB8EC85-3A6D-4109-8581-B572340322FD}"/>
    <cellStyle name="Normal 4 2 2 5 6 2" xfId="6798" xr:uid="{A3E8F027-0713-4428-9A16-7CEC0EA41FE9}"/>
    <cellStyle name="Normal 4 2 2 5 6 2 2" xfId="11016" xr:uid="{CD80E286-C7BB-480F-BBFA-CE59C8AB2189}"/>
    <cellStyle name="Normal 4 2 2 5 6 3" xfId="8871" xr:uid="{2379BF08-0D8A-44C1-8A41-8691FEC97FEF}"/>
    <cellStyle name="Normal 4 2 2 5 7" xfId="5005" xr:uid="{22A13824-CC22-4AC7-A409-3A2D2F48B1A6}"/>
    <cellStyle name="Normal 4 2 2 5 7 2" xfId="9284" xr:uid="{73DFD0FB-3CBF-4184-ACED-2ACA4CC0AC29}"/>
    <cellStyle name="Normal 4 2 2 5 8" xfId="7219" xr:uid="{3A86CB6D-99BC-4FE7-9803-256FC54D8155}"/>
    <cellStyle name="Normal 4 2 2 5 9" xfId="2915" xr:uid="{5D29E900-A958-4869-84E9-59BF39504D9E}"/>
    <cellStyle name="Normal 4 2 2 6" xfId="356" xr:uid="{00000000-0005-0000-0000-00006A020000}"/>
    <cellStyle name="Normal 4 2 2 6 10" xfId="1258" xr:uid="{2D8E2A18-32BA-4B7A-BA3D-5C75837D4338}"/>
    <cellStyle name="Normal 4 2 2 6 2" xfId="838" xr:uid="{00000000-0005-0000-0000-00006B020000}"/>
    <cellStyle name="Normal 4 2 2 6 2 2" xfId="5561" xr:uid="{F706874B-A14E-4AEF-9ED6-97B0502AAA96}"/>
    <cellStyle name="Normal 4 2 2 6 2 2 2" xfId="9779" xr:uid="{987251B1-8900-426D-85A9-624189BE4AC9}"/>
    <cellStyle name="Normal 4 2 2 6 2 3" xfId="7634" xr:uid="{6D35412E-0AD8-4636-92F8-7907C30C9252}"/>
    <cellStyle name="Normal 4 2 2 6 2 4" xfId="3332" xr:uid="{E2EC27A5-0D6D-4405-921A-8D09097DAB89}"/>
    <cellStyle name="Normal 4 2 2 6 2 5" xfId="2503" xr:uid="{D79C2CB6-8850-4732-822F-0035303311C6}"/>
    <cellStyle name="Normal 4 2 2 6 2 6" xfId="1674" xr:uid="{4B63AB66-6AD7-4C1F-8E13-396DE4711D6C}"/>
    <cellStyle name="Normal 4 2 2 6 3" xfId="3745" xr:uid="{8552AB16-2F78-4FA5-8C91-A55FEDDE794D}"/>
    <cellStyle name="Normal 4 2 2 6 3 2" xfId="5974" xr:uid="{3C123AAE-BDC7-4EB6-A79C-8C7E3553A283}"/>
    <cellStyle name="Normal 4 2 2 6 3 2 2" xfId="10192" xr:uid="{D59D20F5-B387-4F54-9426-85E0147F2FC8}"/>
    <cellStyle name="Normal 4 2 2 6 3 3" xfId="8047" xr:uid="{D3CC31FA-84B5-4911-9A3A-DD7F6D5CC2E6}"/>
    <cellStyle name="Normal 4 2 2 6 4" xfId="4158" xr:uid="{5D4A2EC3-0271-48C2-90D6-04ACD0968D15}"/>
    <cellStyle name="Normal 4 2 2 6 4 2" xfId="6387" xr:uid="{0DAD70A4-B890-4BA2-9004-42E53C396C1A}"/>
    <cellStyle name="Normal 4 2 2 6 4 2 2" xfId="10605" xr:uid="{5C832D28-7ACF-4AC6-A9EE-0A282B95DD8B}"/>
    <cellStyle name="Normal 4 2 2 6 4 3" xfId="8460" xr:uid="{7B615189-FD33-47DC-ADE5-A052F63571DC}"/>
    <cellStyle name="Normal 4 2 2 6 5" xfId="4571" xr:uid="{669D52BD-CEE6-40E1-BA10-200DD41B5F27}"/>
    <cellStyle name="Normal 4 2 2 6 5 2" xfId="6800" xr:uid="{F4AF06AE-97E1-4F75-8784-D3AF64D08CFA}"/>
    <cellStyle name="Normal 4 2 2 6 5 2 2" xfId="11018" xr:uid="{05D770A9-09CC-48ED-B19E-726BDB2066CD}"/>
    <cellStyle name="Normal 4 2 2 6 5 3" xfId="8873" xr:uid="{DFCBD333-495B-4F75-B942-E0D02102B27D}"/>
    <cellStyle name="Normal 4 2 2 6 6" xfId="5007" xr:uid="{044C836A-C02C-4A5D-A133-A6F5E5D697D2}"/>
    <cellStyle name="Normal 4 2 2 6 6 2" xfId="9286" xr:uid="{4A8DBC6A-A133-4CA2-8C91-B4096D26DA83}"/>
    <cellStyle name="Normal 4 2 2 6 7" xfId="7221" xr:uid="{3BA0DAC5-7B75-4EB7-9F39-AA7989692E09}"/>
    <cellStyle name="Normal 4 2 2 6 8" xfId="2917" xr:uid="{DF3D9074-0A83-492D-8490-8B0B9078A98B}"/>
    <cellStyle name="Normal 4 2 2 6 9" xfId="2087" xr:uid="{2C4FF060-70F1-4E83-A2E0-E8DB2EF61D75}"/>
    <cellStyle name="Normal 4 2 2 7" xfId="823" xr:uid="{00000000-0005-0000-0000-00006C020000}"/>
    <cellStyle name="Normal 4 2 2 7 2" xfId="5546" xr:uid="{4D687BE3-D2CB-4A8A-873C-A4EF25FBA59F}"/>
    <cellStyle name="Normal 4 2 2 7 2 2" xfId="9764" xr:uid="{FFCE1C84-F6BB-4ABF-97E6-E2B90EE31896}"/>
    <cellStyle name="Normal 4 2 2 7 3" xfId="7619" xr:uid="{8BD8D671-13F5-4FF5-9680-09E46931E190}"/>
    <cellStyle name="Normal 4 2 2 7 4" xfId="3317" xr:uid="{4E7C180E-4FBD-4896-8BA5-453DF707CECA}"/>
    <cellStyle name="Normal 4 2 2 7 5" xfId="2488" xr:uid="{70C29BE7-A303-4A58-9278-08286C96C599}"/>
    <cellStyle name="Normal 4 2 2 7 6" xfId="1659" xr:uid="{655DE277-7311-47C5-8E8F-E34F7DD19940}"/>
    <cellStyle name="Normal 4 2 2 8" xfId="3730" xr:uid="{397861F3-E3A3-4021-801B-0237A3F7E330}"/>
    <cellStyle name="Normal 4 2 2 8 2" xfId="5959" xr:uid="{9569CFA1-FEFA-4AEE-A6E7-AEA4F9865D54}"/>
    <cellStyle name="Normal 4 2 2 8 2 2" xfId="10177" xr:uid="{7D46CF04-1FA7-4BDF-8CA2-E7ED95A6A1D9}"/>
    <cellStyle name="Normal 4 2 2 8 3" xfId="8032" xr:uid="{6E052F88-09EA-4D13-A147-9FA67017857B}"/>
    <cellStyle name="Normal 4 2 2 9" xfId="4143" xr:uid="{D3FCCCC8-2596-4C49-8814-55C07DCEA780}"/>
    <cellStyle name="Normal 4 2 2 9 2" xfId="6372" xr:uid="{82493CD4-61CF-48C5-9770-C344484D0A2B}"/>
    <cellStyle name="Normal 4 2 2 9 2 2" xfId="10590" xr:uid="{E68C8D0E-D8C7-4B3A-813A-36753A7C8B93}"/>
    <cellStyle name="Normal 4 2 2 9 3" xfId="8445" xr:uid="{B4B50500-662A-4307-89E9-27EC9379B30C}"/>
    <cellStyle name="Normal 4 2 3" xfId="357" xr:uid="{00000000-0005-0000-0000-00006D020000}"/>
    <cellStyle name="Normal 4 2 4" xfId="358" xr:uid="{00000000-0005-0000-0000-00006E020000}"/>
    <cellStyle name="Normal 4 2 4 10" xfId="7222" xr:uid="{EE638B46-84D3-42C6-BEB7-49205EB2A755}"/>
    <cellStyle name="Normal 4 2 4 11" xfId="2918" xr:uid="{A9ADAB7F-4DF7-464E-ADA1-BC9963A5E6A3}"/>
    <cellStyle name="Normal 4 2 4 12" xfId="2088" xr:uid="{72B9BCF4-96E9-42CF-877A-BC86DCCE0A77}"/>
    <cellStyle name="Normal 4 2 4 13" xfId="1259" xr:uid="{852FA707-9CB9-4E4C-9D6B-945D99BD1B13}"/>
    <cellStyle name="Normal 4 2 4 2" xfId="359" xr:uid="{00000000-0005-0000-0000-00006F020000}"/>
    <cellStyle name="Normal 4 2 4 2 10" xfId="2919" xr:uid="{17D4AAF4-B49E-4CB2-912B-B093EF8CC472}"/>
    <cellStyle name="Normal 4 2 4 2 11" xfId="2089" xr:uid="{81A318BE-5188-4D27-941A-4A16425B55A8}"/>
    <cellStyle name="Normal 4 2 4 2 12" xfId="1260" xr:uid="{468D111C-8E13-4496-9BE5-3F98F53D49D2}"/>
    <cellStyle name="Normal 4 2 4 2 2" xfId="360" xr:uid="{00000000-0005-0000-0000-000070020000}"/>
    <cellStyle name="Normal 4 2 4 2 2 10" xfId="2090" xr:uid="{17A0B675-2B8E-413C-82D1-D08808C17A23}"/>
    <cellStyle name="Normal 4 2 4 2 2 11" xfId="1261" xr:uid="{670FA128-E3BA-4CF4-9980-6FA070787D7C}"/>
    <cellStyle name="Normal 4 2 4 2 2 2" xfId="361" xr:uid="{00000000-0005-0000-0000-000071020000}"/>
    <cellStyle name="Normal 4 2 4 2 2 2 10" xfId="1262" xr:uid="{B02765A9-7A94-42E2-978B-CF10534C511E}"/>
    <cellStyle name="Normal 4 2 4 2 2 2 2" xfId="842" xr:uid="{00000000-0005-0000-0000-000072020000}"/>
    <cellStyle name="Normal 4 2 4 2 2 2 2 2" xfId="5565" xr:uid="{6E97CC71-BEE4-4C44-8130-5F2C31CC8E4E}"/>
    <cellStyle name="Normal 4 2 4 2 2 2 2 2 2" xfId="9783" xr:uid="{B4E90B40-F985-4F27-A1E1-D2C2AE970565}"/>
    <cellStyle name="Normal 4 2 4 2 2 2 2 3" xfId="7638" xr:uid="{CADA7DCF-E723-4747-98CE-31883CF4E556}"/>
    <cellStyle name="Normal 4 2 4 2 2 2 2 4" xfId="3336" xr:uid="{89B0901C-C062-49C7-AE56-20A0DEFA6892}"/>
    <cellStyle name="Normal 4 2 4 2 2 2 2 5" xfId="2507" xr:uid="{53FEBA78-F52A-4169-9D70-1DB581361C79}"/>
    <cellStyle name="Normal 4 2 4 2 2 2 2 6" xfId="1678" xr:uid="{631D5CD3-4566-4F4E-AA82-8E4B1144E965}"/>
    <cellStyle name="Normal 4 2 4 2 2 2 3" xfId="3749" xr:uid="{0D30DC78-0B45-48BC-8B60-43F5B3A4BDF9}"/>
    <cellStyle name="Normal 4 2 4 2 2 2 3 2" xfId="5978" xr:uid="{A34FDD90-D546-4657-90FB-42EFC82DA6D7}"/>
    <cellStyle name="Normal 4 2 4 2 2 2 3 2 2" xfId="10196" xr:uid="{0975FB5B-18A2-4E17-BF44-8D1BA69988C9}"/>
    <cellStyle name="Normal 4 2 4 2 2 2 3 3" xfId="8051" xr:uid="{78DC10CB-32B2-4CCA-BC20-809082A5AD0D}"/>
    <cellStyle name="Normal 4 2 4 2 2 2 4" xfId="4162" xr:uid="{15797F6C-E74B-4141-9C60-51D9F0D1C7A8}"/>
    <cellStyle name="Normal 4 2 4 2 2 2 4 2" xfId="6391" xr:uid="{965D5F86-14AF-4202-AA63-4A8099824747}"/>
    <cellStyle name="Normal 4 2 4 2 2 2 4 2 2" xfId="10609" xr:uid="{84E8F1B9-6D0D-4EDA-AD63-0D451381EE97}"/>
    <cellStyle name="Normal 4 2 4 2 2 2 4 3" xfId="8464" xr:uid="{900E7479-FC58-47A4-B868-6EE6C20A3041}"/>
    <cellStyle name="Normal 4 2 4 2 2 2 5" xfId="4575" xr:uid="{CAFA4912-835B-4B66-9951-115D1A22DB6D}"/>
    <cellStyle name="Normal 4 2 4 2 2 2 5 2" xfId="6804" xr:uid="{07ED9A3E-44FE-4FCB-8C97-74E8DAF3229F}"/>
    <cellStyle name="Normal 4 2 4 2 2 2 5 2 2" xfId="11022" xr:uid="{38EF8BE3-7448-4051-AF32-8CA2C5421E8C}"/>
    <cellStyle name="Normal 4 2 4 2 2 2 5 3" xfId="8877" xr:uid="{BFE75FAB-88EE-4E49-8C79-CC0C48A12D73}"/>
    <cellStyle name="Normal 4 2 4 2 2 2 6" xfId="5011" xr:uid="{546D1D5E-4EDE-4492-8692-D09029B0FA44}"/>
    <cellStyle name="Normal 4 2 4 2 2 2 6 2" xfId="9290" xr:uid="{2EA2D283-C5E9-4596-B0B7-5CB56805C1CB}"/>
    <cellStyle name="Normal 4 2 4 2 2 2 7" xfId="7225" xr:uid="{055CA86B-87C1-4734-BD48-2EDCC27D401D}"/>
    <cellStyle name="Normal 4 2 4 2 2 2 8" xfId="2921" xr:uid="{E75CEBE3-F461-4191-94B1-0D9A42237BFE}"/>
    <cellStyle name="Normal 4 2 4 2 2 2 9" xfId="2091" xr:uid="{10750FDC-B12D-4CF2-A933-B363B945E081}"/>
    <cellStyle name="Normal 4 2 4 2 2 3" xfId="841" xr:uid="{00000000-0005-0000-0000-000073020000}"/>
    <cellStyle name="Normal 4 2 4 2 2 3 2" xfId="5564" xr:uid="{D1590DF8-ED8F-45C1-A3F3-DDDCFCAF3C85}"/>
    <cellStyle name="Normal 4 2 4 2 2 3 2 2" xfId="9782" xr:uid="{21218F89-9688-4B66-9310-55769791D4F8}"/>
    <cellStyle name="Normal 4 2 4 2 2 3 3" xfId="7637" xr:uid="{D0F504B7-FEB7-4A11-B199-00527203A0AB}"/>
    <cellStyle name="Normal 4 2 4 2 2 3 4" xfId="3335" xr:uid="{5206CBA6-35EC-4F4F-888D-8A29CDB404DA}"/>
    <cellStyle name="Normal 4 2 4 2 2 3 5" xfId="2506" xr:uid="{D730EDE9-B43F-4C4C-8B8C-3E030E5364CC}"/>
    <cellStyle name="Normal 4 2 4 2 2 3 6" xfId="1677" xr:uid="{3E70B620-5569-4AA5-BC82-C6DDED16D5C3}"/>
    <cellStyle name="Normal 4 2 4 2 2 4" xfId="3748" xr:uid="{4092F8AB-257B-4616-9AE4-8793AC3BC5E1}"/>
    <cellStyle name="Normal 4 2 4 2 2 4 2" xfId="5977" xr:uid="{A1A69277-CA30-4A93-B7A9-6FE99055581C}"/>
    <cellStyle name="Normal 4 2 4 2 2 4 2 2" xfId="10195" xr:uid="{93A4812C-C1C1-4D0B-A2B3-F708A746C244}"/>
    <cellStyle name="Normal 4 2 4 2 2 4 3" xfId="8050" xr:uid="{58C315A8-2989-4D6A-9AEC-934D574A9825}"/>
    <cellStyle name="Normal 4 2 4 2 2 5" xfId="4161" xr:uid="{56832A66-FF39-4EDB-99E7-08A977A45404}"/>
    <cellStyle name="Normal 4 2 4 2 2 5 2" xfId="6390" xr:uid="{AF6DA971-FA4C-4D05-BAB6-E210125E6638}"/>
    <cellStyle name="Normal 4 2 4 2 2 5 2 2" xfId="10608" xr:uid="{13C650D8-4474-4C08-91CE-457A746B941C}"/>
    <cellStyle name="Normal 4 2 4 2 2 5 3" xfId="8463" xr:uid="{46283BAE-F83C-4741-AAF0-9918BB0838F6}"/>
    <cellStyle name="Normal 4 2 4 2 2 6" xfId="4574" xr:uid="{D3F03F30-BB7A-442C-B981-9609B8577059}"/>
    <cellStyle name="Normal 4 2 4 2 2 6 2" xfId="6803" xr:uid="{D73101D0-F6E1-4240-B429-851DEDF7C287}"/>
    <cellStyle name="Normal 4 2 4 2 2 6 2 2" xfId="11021" xr:uid="{F887D58D-483A-46D6-B9C6-7987F7B9D3B5}"/>
    <cellStyle name="Normal 4 2 4 2 2 6 3" xfId="8876" xr:uid="{1E8B59E9-D0BD-4CF4-87FE-5199082FBE36}"/>
    <cellStyle name="Normal 4 2 4 2 2 7" xfId="5010" xr:uid="{253C0936-43E1-4BD6-A9E7-E367304C5EF9}"/>
    <cellStyle name="Normal 4 2 4 2 2 7 2" xfId="9289" xr:uid="{A01F9D92-A2D0-4345-AD99-E60C39CC72AA}"/>
    <cellStyle name="Normal 4 2 4 2 2 8" xfId="7224" xr:uid="{7F3ACC34-AAF6-402E-826C-B4DC3CC40936}"/>
    <cellStyle name="Normal 4 2 4 2 2 9" xfId="2920" xr:uid="{C79D4991-EC25-4D20-9EAA-F2306EDEBC4F}"/>
    <cellStyle name="Normal 4 2 4 2 3" xfId="362" xr:uid="{00000000-0005-0000-0000-000074020000}"/>
    <cellStyle name="Normal 4 2 4 2 3 10" xfId="1263" xr:uid="{9BF880B9-264B-4AC5-AED4-07BC85609E93}"/>
    <cellStyle name="Normal 4 2 4 2 3 2" xfId="843" xr:uid="{00000000-0005-0000-0000-000075020000}"/>
    <cellStyle name="Normal 4 2 4 2 3 2 2" xfId="5566" xr:uid="{A016840E-08F9-46AD-A7E8-D7B69A8FA314}"/>
    <cellStyle name="Normal 4 2 4 2 3 2 2 2" xfId="9784" xr:uid="{0156D54E-34F2-4673-80E3-9173F13DFA32}"/>
    <cellStyle name="Normal 4 2 4 2 3 2 3" xfId="7639" xr:uid="{DBE80265-9981-424B-B13A-7676BE20BAD9}"/>
    <cellStyle name="Normal 4 2 4 2 3 2 4" xfId="3337" xr:uid="{68DEA7D6-D37C-411E-A4BD-FE7DABB09408}"/>
    <cellStyle name="Normal 4 2 4 2 3 2 5" xfId="2508" xr:uid="{A3094C21-8B3F-4466-B511-5E5FCF09D71B}"/>
    <cellStyle name="Normal 4 2 4 2 3 2 6" xfId="1679" xr:uid="{81D48B5F-6D50-4DD0-8036-CE75AC7A90FB}"/>
    <cellStyle name="Normal 4 2 4 2 3 3" xfId="3750" xr:uid="{43FCF94E-F3B4-4730-9E30-F8F05CA7EB5B}"/>
    <cellStyle name="Normal 4 2 4 2 3 3 2" xfId="5979" xr:uid="{9354DE8B-CDF0-46DC-9598-13C3D0157F0B}"/>
    <cellStyle name="Normal 4 2 4 2 3 3 2 2" xfId="10197" xr:uid="{BB310A3E-F3B5-493C-8955-AEF5F54CB88D}"/>
    <cellStyle name="Normal 4 2 4 2 3 3 3" xfId="8052" xr:uid="{BA7B1A6C-E91F-45F1-854C-84BE383E8CD8}"/>
    <cellStyle name="Normal 4 2 4 2 3 4" xfId="4163" xr:uid="{1710BCD1-080B-4A89-8EFF-52ED3C4F4D52}"/>
    <cellStyle name="Normal 4 2 4 2 3 4 2" xfId="6392" xr:uid="{72164EDC-2DA9-462A-B27F-DC7C624B3A10}"/>
    <cellStyle name="Normal 4 2 4 2 3 4 2 2" xfId="10610" xr:uid="{5343BE0D-EDBC-4301-A987-0F993C474FA5}"/>
    <cellStyle name="Normal 4 2 4 2 3 4 3" xfId="8465" xr:uid="{0BF2C473-929C-41ED-B467-B4CD783D884A}"/>
    <cellStyle name="Normal 4 2 4 2 3 5" xfId="4576" xr:uid="{24E9D9A7-7657-4477-8BE6-78498153910B}"/>
    <cellStyle name="Normal 4 2 4 2 3 5 2" xfId="6805" xr:uid="{C78655B2-95A7-45FF-8F72-C0F661AD42E2}"/>
    <cellStyle name="Normal 4 2 4 2 3 5 2 2" xfId="11023" xr:uid="{D00B3FEA-F1D7-4F1F-8F87-58CE56722091}"/>
    <cellStyle name="Normal 4 2 4 2 3 5 3" xfId="8878" xr:uid="{28EE7DB3-7821-455A-95A3-9290127E542E}"/>
    <cellStyle name="Normal 4 2 4 2 3 6" xfId="5012" xr:uid="{9821A284-0E7C-493D-A5E6-5FDF7F90D609}"/>
    <cellStyle name="Normal 4 2 4 2 3 6 2" xfId="9291" xr:uid="{249C6426-EAB1-49B6-8FB4-C0E2485F4867}"/>
    <cellStyle name="Normal 4 2 4 2 3 7" xfId="7226" xr:uid="{519590D2-930A-45E6-AAC0-42821AAB6631}"/>
    <cellStyle name="Normal 4 2 4 2 3 8" xfId="2922" xr:uid="{03F93D96-E5D1-4AF4-8ABA-A416AEDE9D41}"/>
    <cellStyle name="Normal 4 2 4 2 3 9" xfId="2092" xr:uid="{6A7E34F2-6D7A-4907-8E9E-2062EA0E0D83}"/>
    <cellStyle name="Normal 4 2 4 2 4" xfId="840" xr:uid="{00000000-0005-0000-0000-000076020000}"/>
    <cellStyle name="Normal 4 2 4 2 4 2" xfId="5563" xr:uid="{882516FA-B298-401D-9092-D239FFAD8BB1}"/>
    <cellStyle name="Normal 4 2 4 2 4 2 2" xfId="9781" xr:uid="{21E59335-A38B-4DAD-BCB4-DD13A3B26300}"/>
    <cellStyle name="Normal 4 2 4 2 4 3" xfId="7636" xr:uid="{DC8A4F51-0003-4A78-8F35-C362BA95A812}"/>
    <cellStyle name="Normal 4 2 4 2 4 4" xfId="3334" xr:uid="{125DFF0E-2944-4068-A410-A729D60C471C}"/>
    <cellStyle name="Normal 4 2 4 2 4 5" xfId="2505" xr:uid="{733851F0-6DB2-4CBD-B54E-AE17DA7B8465}"/>
    <cellStyle name="Normal 4 2 4 2 4 6" xfId="1676" xr:uid="{01AECBAE-A2A7-4F86-B3C1-41800A80DD96}"/>
    <cellStyle name="Normal 4 2 4 2 5" xfId="3747" xr:uid="{7EF443EA-D0F0-47E7-8170-607A035557F7}"/>
    <cellStyle name="Normal 4 2 4 2 5 2" xfId="5976" xr:uid="{C7A2B615-16D8-4CBD-B0C6-6E18BC92A785}"/>
    <cellStyle name="Normal 4 2 4 2 5 2 2" xfId="10194" xr:uid="{B05209E8-1556-4006-94E1-C3D1D16FFC19}"/>
    <cellStyle name="Normal 4 2 4 2 5 3" xfId="8049" xr:uid="{11C26F8E-42FD-4C9F-9961-E0ADBCA79ACF}"/>
    <cellStyle name="Normal 4 2 4 2 6" xfId="4160" xr:uid="{A8AC3C61-B84B-4EFC-A6CA-67893FDFF34E}"/>
    <cellStyle name="Normal 4 2 4 2 6 2" xfId="6389" xr:uid="{43E3BC64-5A92-4FD1-B9A4-0A571A7552E0}"/>
    <cellStyle name="Normal 4 2 4 2 6 2 2" xfId="10607" xr:uid="{30BB7FE5-6E08-4865-99D5-0CA2DA9B5A45}"/>
    <cellStyle name="Normal 4 2 4 2 6 3" xfId="8462" xr:uid="{C2621E10-0419-460E-B787-B6DE268FA919}"/>
    <cellStyle name="Normal 4 2 4 2 7" xfId="4573" xr:uid="{7B9EE584-3107-4B27-B927-6BDB4D83FA27}"/>
    <cellStyle name="Normal 4 2 4 2 7 2" xfId="6802" xr:uid="{A8FE55D8-A6F0-4484-9A47-F33923D7E5F4}"/>
    <cellStyle name="Normal 4 2 4 2 7 2 2" xfId="11020" xr:uid="{2431B908-EFFB-416A-B0F7-DE74E9EDC027}"/>
    <cellStyle name="Normal 4 2 4 2 7 3" xfId="8875" xr:uid="{7A42DF5B-F54D-4F1B-A511-C46A8DF6535B}"/>
    <cellStyle name="Normal 4 2 4 2 8" xfId="5009" xr:uid="{A2D9AD02-A76C-4C5F-B2B5-2E9524B64435}"/>
    <cellStyle name="Normal 4 2 4 2 8 2" xfId="9288" xr:uid="{CFBDA77A-9B75-420F-98C2-A30C3877EDBC}"/>
    <cellStyle name="Normal 4 2 4 2 9" xfId="7223" xr:uid="{2DBC732E-E1E2-401C-8B70-D40CF7AAA092}"/>
    <cellStyle name="Normal 4 2 4 3" xfId="363" xr:uid="{00000000-0005-0000-0000-000077020000}"/>
    <cellStyle name="Normal 4 2 4 3 10" xfId="2093" xr:uid="{5EEDA1C6-8967-4B1B-A0FD-D195BBD9E45B}"/>
    <cellStyle name="Normal 4 2 4 3 11" xfId="1264" xr:uid="{F898C16B-C153-4961-990F-738DE820EBDD}"/>
    <cellStyle name="Normal 4 2 4 3 2" xfId="364" xr:uid="{00000000-0005-0000-0000-000078020000}"/>
    <cellStyle name="Normal 4 2 4 3 2 10" xfId="1265" xr:uid="{8484A921-F3E0-42B5-B1DE-B197D2D3917E}"/>
    <cellStyle name="Normal 4 2 4 3 2 2" xfId="845" xr:uid="{00000000-0005-0000-0000-000079020000}"/>
    <cellStyle name="Normal 4 2 4 3 2 2 2" xfId="5568" xr:uid="{E5D19868-3C2A-4AE3-9DE2-3AF5DA3A75D6}"/>
    <cellStyle name="Normal 4 2 4 3 2 2 2 2" xfId="9786" xr:uid="{789693FA-7A39-4A11-AD91-494873D6755A}"/>
    <cellStyle name="Normal 4 2 4 3 2 2 3" xfId="7641" xr:uid="{C58A84C5-0756-4C01-9D30-D8049EDF66C8}"/>
    <cellStyle name="Normal 4 2 4 3 2 2 4" xfId="3339" xr:uid="{FCF05D19-F024-425F-80D8-071901F0E16F}"/>
    <cellStyle name="Normal 4 2 4 3 2 2 5" xfId="2510" xr:uid="{DAD0EBC6-A2C4-4396-A8A2-F20CCE965525}"/>
    <cellStyle name="Normal 4 2 4 3 2 2 6" xfId="1681" xr:uid="{BA0BF263-725B-4DD8-A354-5221136DB5DA}"/>
    <cellStyle name="Normal 4 2 4 3 2 3" xfId="3752" xr:uid="{31B76616-5714-47F8-8FB0-FFC990F42454}"/>
    <cellStyle name="Normal 4 2 4 3 2 3 2" xfId="5981" xr:uid="{61920252-B618-44FA-950B-F85A37538A29}"/>
    <cellStyle name="Normal 4 2 4 3 2 3 2 2" xfId="10199" xr:uid="{D3E687FA-797D-4973-8E29-1CBCA70A1CD0}"/>
    <cellStyle name="Normal 4 2 4 3 2 3 3" xfId="8054" xr:uid="{482D0E2C-ADE8-4F84-BFB9-5D3D3E667B86}"/>
    <cellStyle name="Normal 4 2 4 3 2 4" xfId="4165" xr:uid="{B49C746C-628E-42B9-8B9A-B6D84360A72A}"/>
    <cellStyle name="Normal 4 2 4 3 2 4 2" xfId="6394" xr:uid="{EF77A195-8C11-4A4E-AE12-B98BC68D157B}"/>
    <cellStyle name="Normal 4 2 4 3 2 4 2 2" xfId="10612" xr:uid="{D08BAF3D-99F7-4FB1-AF88-FFCFCA784F77}"/>
    <cellStyle name="Normal 4 2 4 3 2 4 3" xfId="8467" xr:uid="{6438AEE9-31BF-4985-954F-9799352901FD}"/>
    <cellStyle name="Normal 4 2 4 3 2 5" xfId="4578" xr:uid="{5992942D-A35D-4C4C-9D07-0E648551CA3D}"/>
    <cellStyle name="Normal 4 2 4 3 2 5 2" xfId="6807" xr:uid="{5DFBFABA-9F59-476C-9EE9-9C02128B8954}"/>
    <cellStyle name="Normal 4 2 4 3 2 5 2 2" xfId="11025" xr:uid="{33CFCDD9-79B6-4F73-9532-668DF7171D94}"/>
    <cellStyle name="Normal 4 2 4 3 2 5 3" xfId="8880" xr:uid="{0946BD4B-7FCA-405A-B351-B8B47F5CD909}"/>
    <cellStyle name="Normal 4 2 4 3 2 6" xfId="5014" xr:uid="{CE626DC6-4EE1-4B86-BB21-0CD8BC20EBBA}"/>
    <cellStyle name="Normal 4 2 4 3 2 6 2" xfId="9293" xr:uid="{4E4201B2-2259-4378-8E50-1D0A974C1755}"/>
    <cellStyle name="Normal 4 2 4 3 2 7" xfId="7228" xr:uid="{C321A4F8-0B8F-4AFB-84D7-E73783EC0617}"/>
    <cellStyle name="Normal 4 2 4 3 2 8" xfId="2924" xr:uid="{73EDC82F-D745-4253-A865-51ACF85C2189}"/>
    <cellStyle name="Normal 4 2 4 3 2 9" xfId="2094" xr:uid="{8FBD2EDA-CBD1-4601-9C1E-64911FC69BAA}"/>
    <cellStyle name="Normal 4 2 4 3 3" xfId="844" xr:uid="{00000000-0005-0000-0000-00007A020000}"/>
    <cellStyle name="Normal 4 2 4 3 3 2" xfId="5567" xr:uid="{C93FFA8E-E03B-4E9B-942E-59DF1D9C3409}"/>
    <cellStyle name="Normal 4 2 4 3 3 2 2" xfId="9785" xr:uid="{2E32EC4E-82FE-49E3-892A-B602B4C27C77}"/>
    <cellStyle name="Normal 4 2 4 3 3 3" xfId="7640" xr:uid="{F7C92DF4-72B0-4048-AC26-3C06B34221E5}"/>
    <cellStyle name="Normal 4 2 4 3 3 4" xfId="3338" xr:uid="{272F1695-8096-4ADB-B9BC-28EA50F3FDA3}"/>
    <cellStyle name="Normal 4 2 4 3 3 5" xfId="2509" xr:uid="{5DB1C55F-DFD3-4B10-9FCF-9A2E9D7A6580}"/>
    <cellStyle name="Normal 4 2 4 3 3 6" xfId="1680" xr:uid="{F1FD78D3-D80D-498D-9E94-527D3E0C0A4F}"/>
    <cellStyle name="Normal 4 2 4 3 4" xfId="3751" xr:uid="{29972E5D-134F-46C0-A5BD-C96B9A14A41B}"/>
    <cellStyle name="Normal 4 2 4 3 4 2" xfId="5980" xr:uid="{B677F836-FB7A-4256-B5C7-1128D13AB1E2}"/>
    <cellStyle name="Normal 4 2 4 3 4 2 2" xfId="10198" xr:uid="{4159496D-F80E-48BE-9A30-19C9CC2405EC}"/>
    <cellStyle name="Normal 4 2 4 3 4 3" xfId="8053" xr:uid="{6BF5B3E4-D38D-4DC4-9383-6D4A4A9A7B30}"/>
    <cellStyle name="Normal 4 2 4 3 5" xfId="4164" xr:uid="{20E84420-FAF2-403A-B7C1-C394F709DCEE}"/>
    <cellStyle name="Normal 4 2 4 3 5 2" xfId="6393" xr:uid="{E3948A9C-BCCF-475F-86EC-A934DBB86858}"/>
    <cellStyle name="Normal 4 2 4 3 5 2 2" xfId="10611" xr:uid="{117BB19E-31AC-41D7-BD9A-A08F76D33033}"/>
    <cellStyle name="Normal 4 2 4 3 5 3" xfId="8466" xr:uid="{4F0362A9-547E-4938-B404-3DAA64471AD0}"/>
    <cellStyle name="Normal 4 2 4 3 6" xfId="4577" xr:uid="{D6E19359-A2DA-4EAA-A592-CB9D52368849}"/>
    <cellStyle name="Normal 4 2 4 3 6 2" xfId="6806" xr:uid="{0F796935-F7FA-4427-8A68-8A6A83AE0604}"/>
    <cellStyle name="Normal 4 2 4 3 6 2 2" xfId="11024" xr:uid="{EA02B090-78A5-49AC-AF4A-424DFB4AA8E2}"/>
    <cellStyle name="Normal 4 2 4 3 6 3" xfId="8879" xr:uid="{F1C8ADE0-A1DB-43FC-82FD-A297DFBBFA19}"/>
    <cellStyle name="Normal 4 2 4 3 7" xfId="5013" xr:uid="{DAF88DFD-E5A5-4BE8-B957-95AA5A4C2A6B}"/>
    <cellStyle name="Normal 4 2 4 3 7 2" xfId="9292" xr:uid="{48BE0D12-B4F9-4DA3-8436-47C8E2AA451C}"/>
    <cellStyle name="Normal 4 2 4 3 8" xfId="7227" xr:uid="{233FAEDD-33AD-4797-AAEC-2800F738CE0A}"/>
    <cellStyle name="Normal 4 2 4 3 9" xfId="2923" xr:uid="{F6A9F140-3829-41D1-9F1E-94F79FB678F9}"/>
    <cellStyle name="Normal 4 2 4 4" xfId="365" xr:uid="{00000000-0005-0000-0000-00007B020000}"/>
    <cellStyle name="Normal 4 2 4 4 10" xfId="1266" xr:uid="{8ACA3AB5-A971-4C1A-AD29-5E47F6891518}"/>
    <cellStyle name="Normal 4 2 4 4 2" xfId="846" xr:uid="{00000000-0005-0000-0000-00007C020000}"/>
    <cellStyle name="Normal 4 2 4 4 2 2" xfId="5569" xr:uid="{68A05496-218E-49A6-9AF9-28DE57F313FE}"/>
    <cellStyle name="Normal 4 2 4 4 2 2 2" xfId="9787" xr:uid="{17776CB4-85F0-40F9-A9AE-FAE15F55F02C}"/>
    <cellStyle name="Normal 4 2 4 4 2 3" xfId="7642" xr:uid="{A7DE93F3-FF16-48FB-BD57-F204FE131D1A}"/>
    <cellStyle name="Normal 4 2 4 4 2 4" xfId="3340" xr:uid="{60B3CD39-1EC4-47B2-A9EC-2F8E4716A90A}"/>
    <cellStyle name="Normal 4 2 4 4 2 5" xfId="2511" xr:uid="{0225F97C-FD0A-4492-B7B8-3BA2BB451061}"/>
    <cellStyle name="Normal 4 2 4 4 2 6" xfId="1682" xr:uid="{D3B0EEDA-01B1-4604-A6D5-651DE86E39BC}"/>
    <cellStyle name="Normal 4 2 4 4 3" xfId="3753" xr:uid="{30CCA712-2834-4034-95DF-DF29417F150C}"/>
    <cellStyle name="Normal 4 2 4 4 3 2" xfId="5982" xr:uid="{16AFA0F4-FD35-4C62-9E59-6966A4011A16}"/>
    <cellStyle name="Normal 4 2 4 4 3 2 2" xfId="10200" xr:uid="{E2DF3C99-638A-4CFB-9FCD-2664CEDD7DF6}"/>
    <cellStyle name="Normal 4 2 4 4 3 3" xfId="8055" xr:uid="{21D73D9A-E6D4-4B0B-B142-6DC4145557EA}"/>
    <cellStyle name="Normal 4 2 4 4 4" xfId="4166" xr:uid="{3C3998F9-A9A5-40BB-97E8-4F8EB112A8EA}"/>
    <cellStyle name="Normal 4 2 4 4 4 2" xfId="6395" xr:uid="{C3684295-7DF0-4CB4-B6D2-241D73122C2C}"/>
    <cellStyle name="Normal 4 2 4 4 4 2 2" xfId="10613" xr:uid="{CAEAD8A1-4575-4D5E-B223-00609C089623}"/>
    <cellStyle name="Normal 4 2 4 4 4 3" xfId="8468" xr:uid="{D23F5634-9BEA-4BB6-A05A-7CA360BBCB2C}"/>
    <cellStyle name="Normal 4 2 4 4 5" xfId="4579" xr:uid="{3B020297-7E3A-4098-844F-13733CB37D7D}"/>
    <cellStyle name="Normal 4 2 4 4 5 2" xfId="6808" xr:uid="{EF9C0C9A-D32F-453D-8DA5-5231DFEEB529}"/>
    <cellStyle name="Normal 4 2 4 4 5 2 2" xfId="11026" xr:uid="{D23CFAF0-A219-4881-8951-9CBAF7D692CF}"/>
    <cellStyle name="Normal 4 2 4 4 5 3" xfId="8881" xr:uid="{71083A21-AF06-4BC8-8E9A-F3F8E4F20148}"/>
    <cellStyle name="Normal 4 2 4 4 6" xfId="5015" xr:uid="{888F6EA2-443D-462F-B0F8-9380CB885B5A}"/>
    <cellStyle name="Normal 4 2 4 4 6 2" xfId="9294" xr:uid="{30C3AA5E-01C2-4EAD-8A51-130CF04FCBC8}"/>
    <cellStyle name="Normal 4 2 4 4 7" xfId="7229" xr:uid="{4E492A6E-3532-477D-8C82-255130011925}"/>
    <cellStyle name="Normal 4 2 4 4 8" xfId="2925" xr:uid="{7164AC01-3F09-46F5-A11C-2434263CC3B9}"/>
    <cellStyle name="Normal 4 2 4 4 9" xfId="2095" xr:uid="{BCEB977A-9EE5-46FA-A871-94A6AD166610}"/>
    <cellStyle name="Normal 4 2 4 5" xfId="839" xr:uid="{00000000-0005-0000-0000-00007D020000}"/>
    <cellStyle name="Normal 4 2 4 5 2" xfId="5562" xr:uid="{6F4F3D08-39F7-4214-8072-DDABDE6059EE}"/>
    <cellStyle name="Normal 4 2 4 5 2 2" xfId="9780" xr:uid="{480A71E5-1DF8-4144-8495-F9FD76749EF6}"/>
    <cellStyle name="Normal 4 2 4 5 3" xfId="7635" xr:uid="{841AAE62-85E3-4B70-B20C-3E93A35C2127}"/>
    <cellStyle name="Normal 4 2 4 5 4" xfId="3333" xr:uid="{17861662-7494-4908-B271-2830EEE3B200}"/>
    <cellStyle name="Normal 4 2 4 5 5" xfId="2504" xr:uid="{44B7319F-469A-4935-8CC7-B45B0964641C}"/>
    <cellStyle name="Normal 4 2 4 5 6" xfId="1675" xr:uid="{E7324C8C-BF50-4C37-895C-EFD1E8C9B649}"/>
    <cellStyle name="Normal 4 2 4 6" xfId="3746" xr:uid="{6CDC034F-C971-447D-BBF6-22EC8DA0A48D}"/>
    <cellStyle name="Normal 4 2 4 6 2" xfId="5975" xr:uid="{3A9BBA6C-5F99-4D06-9340-F2ABC9E98B84}"/>
    <cellStyle name="Normal 4 2 4 6 2 2" xfId="10193" xr:uid="{D686A263-3115-47FE-92D4-57B8EE65EF63}"/>
    <cellStyle name="Normal 4 2 4 6 3" xfId="8048" xr:uid="{DDA69B65-7240-474A-8525-89EFC18F5CA0}"/>
    <cellStyle name="Normal 4 2 4 7" xfId="4159" xr:uid="{B1915206-E5D9-4643-B94F-39D19A37B8B3}"/>
    <cellStyle name="Normal 4 2 4 7 2" xfId="6388" xr:uid="{129B0CC8-0210-4002-87D9-06F88BB150DC}"/>
    <cellStyle name="Normal 4 2 4 7 2 2" xfId="10606" xr:uid="{F1FC3E25-66D1-47C9-88E3-D56087CFF95D}"/>
    <cellStyle name="Normal 4 2 4 7 3" xfId="8461" xr:uid="{54E18570-B178-4484-B5EF-3F4A477632CB}"/>
    <cellStyle name="Normal 4 2 4 8" xfId="4572" xr:uid="{F3B02E81-E110-44CA-9BC4-C9E47EDBFB26}"/>
    <cellStyle name="Normal 4 2 4 8 2" xfId="6801" xr:uid="{9486E20B-C82D-440A-9154-07B2EE94B06B}"/>
    <cellStyle name="Normal 4 2 4 8 2 2" xfId="11019" xr:uid="{B98E48BE-E690-4273-BCE5-E7D018AE6E30}"/>
    <cellStyle name="Normal 4 2 4 8 3" xfId="8874" xr:uid="{88E6C764-C375-40E1-95AD-E660BD5B20CE}"/>
    <cellStyle name="Normal 4 2 4 9" xfId="5008" xr:uid="{FBAE92C0-FB70-4505-A2A9-21F92F220AF9}"/>
    <cellStyle name="Normal 4 2 4 9 2" xfId="9287" xr:uid="{DC7A8F5B-E6C7-42E8-92D3-A7846BF168EA}"/>
    <cellStyle name="Normal 4 2 5" xfId="366" xr:uid="{00000000-0005-0000-0000-00007E020000}"/>
    <cellStyle name="Normal 4 2 5 10" xfId="2096" xr:uid="{493131EA-DD44-4D47-90EC-67D46C9B06CF}"/>
    <cellStyle name="Normal 4 2 5 11" xfId="1267" xr:uid="{11A15D86-1AD9-4BE3-AB7E-76F64FC98CDC}"/>
    <cellStyle name="Normal 4 2 5 2" xfId="367" xr:uid="{00000000-0005-0000-0000-00007F020000}"/>
    <cellStyle name="Normal 4 2 5 2 10" xfId="1268" xr:uid="{F45D209B-71D7-4E29-A56E-52E1C0096315}"/>
    <cellStyle name="Normal 4 2 5 2 2" xfId="848" xr:uid="{00000000-0005-0000-0000-000080020000}"/>
    <cellStyle name="Normal 4 2 5 2 2 2" xfId="5571" xr:uid="{647A9C36-1295-4B03-932C-7CA9631FD49B}"/>
    <cellStyle name="Normal 4 2 5 2 2 2 2" xfId="9789" xr:uid="{C636FBA0-3FA4-4E23-BB08-D508ADEC94F1}"/>
    <cellStyle name="Normal 4 2 5 2 2 3" xfId="7644" xr:uid="{954ED94A-516F-447C-89CD-3F1226EACC52}"/>
    <cellStyle name="Normal 4 2 5 2 2 4" xfId="3342" xr:uid="{CD245380-EDA1-4B1A-AA80-ACB0E4D05004}"/>
    <cellStyle name="Normal 4 2 5 2 2 5" xfId="2513" xr:uid="{5EF6014C-EDD8-470E-9656-C140B636FACA}"/>
    <cellStyle name="Normal 4 2 5 2 2 6" xfId="1684" xr:uid="{69EF15C3-AC61-4680-A9FE-06057E9B53AF}"/>
    <cellStyle name="Normal 4 2 5 2 3" xfId="3755" xr:uid="{82DEE38C-015D-4EB5-8DF4-09A28CFDD480}"/>
    <cellStyle name="Normal 4 2 5 2 3 2" xfId="5984" xr:uid="{E5DF27B9-A66F-4FB7-ADA6-719D3D844C0E}"/>
    <cellStyle name="Normal 4 2 5 2 3 2 2" xfId="10202" xr:uid="{4EFE9F80-5CD9-4B9B-A5CB-CA950149E33F}"/>
    <cellStyle name="Normal 4 2 5 2 3 3" xfId="8057" xr:uid="{7F1E9F62-B144-48E0-84BC-AE2E21B8F043}"/>
    <cellStyle name="Normal 4 2 5 2 4" xfId="4168" xr:uid="{0C06FC3B-D287-4CB7-92B4-C14647CEA7F4}"/>
    <cellStyle name="Normal 4 2 5 2 4 2" xfId="6397" xr:uid="{04B25DC7-4E4E-4F62-B7F0-A8FBF18BB66D}"/>
    <cellStyle name="Normal 4 2 5 2 4 2 2" xfId="10615" xr:uid="{2181CDE9-CF4C-4D05-A293-69A4FBEDA7AB}"/>
    <cellStyle name="Normal 4 2 5 2 4 3" xfId="8470" xr:uid="{1E9F8EA4-1F58-42BD-B1F9-4BFF15C182BC}"/>
    <cellStyle name="Normal 4 2 5 2 5" xfId="4581" xr:uid="{3A14022A-8D4A-46DC-9909-14EFD8D22885}"/>
    <cellStyle name="Normal 4 2 5 2 5 2" xfId="6810" xr:uid="{06DB9A51-AB70-4E81-87FC-CA93B3B6E146}"/>
    <cellStyle name="Normal 4 2 5 2 5 2 2" xfId="11028" xr:uid="{985ADA37-1460-4A85-BDEC-40D790544B4B}"/>
    <cellStyle name="Normal 4 2 5 2 5 3" xfId="8883" xr:uid="{3B2DC8C9-ACCD-4A45-84E8-1A47A761E365}"/>
    <cellStyle name="Normal 4 2 5 2 6" xfId="5017" xr:uid="{1572578B-437E-4D59-8E23-6D0723EC6E4B}"/>
    <cellStyle name="Normal 4 2 5 2 6 2" xfId="9296" xr:uid="{D6BEEAA9-B141-4493-9BD8-D2CFA9EFCD6F}"/>
    <cellStyle name="Normal 4 2 5 2 7" xfId="7231" xr:uid="{F0EDA56A-64AD-47C9-9A4F-C15389159766}"/>
    <cellStyle name="Normal 4 2 5 2 8" xfId="2927" xr:uid="{9C3D96C1-FB62-448E-92BA-E76E11F6BF3B}"/>
    <cellStyle name="Normal 4 2 5 2 9" xfId="2097" xr:uid="{D02E10C2-71A4-467B-9E9F-2F7000B9ACF6}"/>
    <cellStyle name="Normal 4 2 5 3" xfId="847" xr:uid="{00000000-0005-0000-0000-000081020000}"/>
    <cellStyle name="Normal 4 2 5 3 2" xfId="5570" xr:uid="{545A44E2-9BA9-49BE-ABFC-6691D9D97812}"/>
    <cellStyle name="Normal 4 2 5 3 2 2" xfId="9788" xr:uid="{074113A0-3638-4C53-B724-B11E0E8AD872}"/>
    <cellStyle name="Normal 4 2 5 3 3" xfId="7643" xr:uid="{B8BDF32A-F1CB-4126-A6D3-1D389C57E23A}"/>
    <cellStyle name="Normal 4 2 5 3 4" xfId="3341" xr:uid="{62BB9848-ECD8-461F-B7C8-688D10C12944}"/>
    <cellStyle name="Normal 4 2 5 3 5" xfId="2512" xr:uid="{11E3EAC0-4863-4CEE-835A-B7818F9305E6}"/>
    <cellStyle name="Normal 4 2 5 3 6" xfId="1683" xr:uid="{4C47F14C-3CAB-4270-9B94-B53A3BEF9E0B}"/>
    <cellStyle name="Normal 4 2 5 4" xfId="3754" xr:uid="{B5723AAE-46F5-4534-ACBE-CF8609C77EE8}"/>
    <cellStyle name="Normal 4 2 5 4 2" xfId="5983" xr:uid="{90AFFBA2-8406-46D7-BAAC-F6E44B871C92}"/>
    <cellStyle name="Normal 4 2 5 4 2 2" xfId="10201" xr:uid="{BB4100EB-B278-4C29-A874-E5D1D3E9FD7F}"/>
    <cellStyle name="Normal 4 2 5 4 3" xfId="8056" xr:uid="{97B47BB1-829A-4C05-9D79-1E480053B0DD}"/>
    <cellStyle name="Normal 4 2 5 5" xfId="4167" xr:uid="{5A81D379-1D1E-4D11-8B40-CA3631342BE4}"/>
    <cellStyle name="Normal 4 2 5 5 2" xfId="6396" xr:uid="{9921FCE3-DBE6-4E19-BE16-1B1B9B879EAA}"/>
    <cellStyle name="Normal 4 2 5 5 2 2" xfId="10614" xr:uid="{FACCD496-E7C0-44AD-A343-D112B6380913}"/>
    <cellStyle name="Normal 4 2 5 5 3" xfId="8469" xr:uid="{7C3C03A2-0063-49D7-9037-C37D52CAB286}"/>
    <cellStyle name="Normal 4 2 5 6" xfId="4580" xr:uid="{9E48AC65-E2E9-46C9-AFEA-427484A420A4}"/>
    <cellStyle name="Normal 4 2 5 6 2" xfId="6809" xr:uid="{A00AE197-60BD-45E9-973C-831EE0716B9D}"/>
    <cellStyle name="Normal 4 2 5 6 2 2" xfId="11027" xr:uid="{38365055-5AF0-4581-8BBC-106731D561FC}"/>
    <cellStyle name="Normal 4 2 5 6 3" xfId="8882" xr:uid="{0BF3F7D5-4BC0-481E-83DC-29898F45B761}"/>
    <cellStyle name="Normal 4 2 5 7" xfId="5016" xr:uid="{18B7093D-A446-46BF-A8A2-1573B160D1C2}"/>
    <cellStyle name="Normal 4 2 5 7 2" xfId="9295" xr:uid="{85E2836F-1D76-43D8-AECA-78B9B078AEEC}"/>
    <cellStyle name="Normal 4 2 5 8" xfId="7230" xr:uid="{58D61365-4EF4-4546-B675-B1E0CDACB690}"/>
    <cellStyle name="Normal 4 2 5 9" xfId="2926" xr:uid="{401CF1CF-BF7A-43DC-8F17-8AB906EB93E3}"/>
    <cellStyle name="Normal 4 2 6" xfId="368" xr:uid="{00000000-0005-0000-0000-000082020000}"/>
    <cellStyle name="Normal 4 2 6 10" xfId="1269" xr:uid="{67241700-03B7-4ECD-BCCF-DD8FEC8A6654}"/>
    <cellStyle name="Normal 4 2 6 2" xfId="849" xr:uid="{00000000-0005-0000-0000-000083020000}"/>
    <cellStyle name="Normal 4 2 6 2 2" xfId="5572" xr:uid="{77B17F00-9FAC-4334-B10B-5CC8A026D19F}"/>
    <cellStyle name="Normal 4 2 6 2 2 2" xfId="9790" xr:uid="{9F4D1D47-C9BA-45BB-9DC8-1F0B8F095B94}"/>
    <cellStyle name="Normal 4 2 6 2 3" xfId="7645" xr:uid="{EC6FB118-6E9D-4199-81C0-FA0AFC33D765}"/>
    <cellStyle name="Normal 4 2 6 2 4" xfId="3343" xr:uid="{C718AE7F-6E9E-49ED-B77C-5B253F2B2242}"/>
    <cellStyle name="Normal 4 2 6 2 5" xfId="2514" xr:uid="{7FF29152-3C9F-4E19-BF74-DDB628C52D6D}"/>
    <cellStyle name="Normal 4 2 6 2 6" xfId="1685" xr:uid="{B176BC2D-21D9-45C5-B1E2-1FB744CCFF75}"/>
    <cellStyle name="Normal 4 2 6 3" xfId="3756" xr:uid="{0344087C-BB5E-4A2E-A9C9-47EB4624F3DF}"/>
    <cellStyle name="Normal 4 2 6 3 2" xfId="5985" xr:uid="{F2AD7D0F-85ED-462E-8AA4-C2AB091A401E}"/>
    <cellStyle name="Normal 4 2 6 3 2 2" xfId="10203" xr:uid="{89419C23-8B5F-49C0-86D9-AF46321F7E55}"/>
    <cellStyle name="Normal 4 2 6 3 3" xfId="8058" xr:uid="{E77CB834-4F18-45A5-BB6D-0FFBD138CDE1}"/>
    <cellStyle name="Normal 4 2 6 4" xfId="4169" xr:uid="{1D83149B-76E7-47BD-8401-4772EFA05A3D}"/>
    <cellStyle name="Normal 4 2 6 4 2" xfId="6398" xr:uid="{B49E9DE9-94CD-4CAC-AC44-7D2CDB500884}"/>
    <cellStyle name="Normal 4 2 6 4 2 2" xfId="10616" xr:uid="{CEC0A02D-FC7C-4656-84CC-9FF14C3A0562}"/>
    <cellStyle name="Normal 4 2 6 4 3" xfId="8471" xr:uid="{95FF14E5-7A2E-499D-8A44-2EB71E8008F0}"/>
    <cellStyle name="Normal 4 2 6 5" xfId="4582" xr:uid="{9BFB768D-DFDE-49CE-AE3C-6750D6E941D9}"/>
    <cellStyle name="Normal 4 2 6 5 2" xfId="6811" xr:uid="{034E35FE-7D8B-4148-989F-BDCBB2CF6974}"/>
    <cellStyle name="Normal 4 2 6 5 2 2" xfId="11029" xr:uid="{9DBECFD0-97B7-4FE0-9002-962445CBA39D}"/>
    <cellStyle name="Normal 4 2 6 5 3" xfId="8884" xr:uid="{B1538F57-966E-40B8-8ABB-6F7C2B8810A8}"/>
    <cellStyle name="Normal 4 2 6 6" xfId="5018" xr:uid="{7D54A724-452D-484D-88D1-55DD2DFDA192}"/>
    <cellStyle name="Normal 4 2 6 6 2" xfId="9297" xr:uid="{A4B848AB-40D7-4ED3-8DAA-CD5D738A1E37}"/>
    <cellStyle name="Normal 4 2 6 7" xfId="7232" xr:uid="{56C27B5A-874C-499A-B5DD-64E8D2E8A9E6}"/>
    <cellStyle name="Normal 4 2 6 8" xfId="2928" xr:uid="{11D11613-0D97-4A72-BB84-D942EDB1804B}"/>
    <cellStyle name="Normal 4 2 6 9" xfId="2098" xr:uid="{D2D6104D-8A2F-4444-8541-C8BFF0629CE7}"/>
    <cellStyle name="Normal 4 3" xfId="369" xr:uid="{00000000-0005-0000-0000-000084020000}"/>
    <cellStyle name="Normal 4 3 10" xfId="2929" xr:uid="{4E404378-BF66-4349-AD03-200BBBC52B22}"/>
    <cellStyle name="Normal 4 3 11" xfId="2099" xr:uid="{2826F26B-6820-4927-B267-A20A965A3E51}"/>
    <cellStyle name="Normal 4 3 12" xfId="1270" xr:uid="{8C571CD5-78C6-40FF-9645-6D3E6DB3B25A}"/>
    <cellStyle name="Normal 4 3 2" xfId="370" xr:uid="{00000000-0005-0000-0000-000085020000}"/>
    <cellStyle name="Normal 4 3 2 2" xfId="371" xr:uid="{00000000-0005-0000-0000-000086020000}"/>
    <cellStyle name="Normal 4 3 2 2 2" xfId="372" xr:uid="{00000000-0005-0000-0000-000087020000}"/>
    <cellStyle name="Normal 4 3 2 2 2 10" xfId="2930" xr:uid="{2B069AB7-BB72-4D06-A96D-1FDA7D1917D2}"/>
    <cellStyle name="Normal 4 3 2 2 2 11" xfId="2100" xr:uid="{25FE3D80-0546-4431-B030-1FADA4C39ACA}"/>
    <cellStyle name="Normal 4 3 2 2 2 12" xfId="1271" xr:uid="{0B77F7D4-08D8-414D-A572-E727804F72E0}"/>
    <cellStyle name="Normal 4 3 2 2 2 2" xfId="373" xr:uid="{00000000-0005-0000-0000-000088020000}"/>
    <cellStyle name="Normal 4 3 2 2 2 2 10" xfId="2101" xr:uid="{8D5A0404-4C7B-4F04-A289-C636F40F7754}"/>
    <cellStyle name="Normal 4 3 2 2 2 2 11" xfId="1272" xr:uid="{BDDA2F76-6EAA-4FEE-BAC7-9D1DC5F275D8}"/>
    <cellStyle name="Normal 4 3 2 2 2 2 2" xfId="374" xr:uid="{00000000-0005-0000-0000-000089020000}"/>
    <cellStyle name="Normal 4 3 2 2 2 2 2 10" xfId="1273" xr:uid="{A629C3BC-0080-4F1C-8F62-60D0128D8D75}"/>
    <cellStyle name="Normal 4 3 2 2 2 2 2 2" xfId="854" xr:uid="{00000000-0005-0000-0000-00008A020000}"/>
    <cellStyle name="Normal 4 3 2 2 2 2 2 2 2" xfId="5576" xr:uid="{00AB701D-3CD0-4C0F-B38A-0C854B81E48C}"/>
    <cellStyle name="Normal 4 3 2 2 2 2 2 2 2 2" xfId="9794" xr:uid="{2A7AAA88-CAC4-4593-8D21-B34302D9C59A}"/>
    <cellStyle name="Normal 4 3 2 2 2 2 2 2 3" xfId="7649" xr:uid="{AC6096FE-9EF8-4DB3-97D3-F04E94D6F4A1}"/>
    <cellStyle name="Normal 4 3 2 2 2 2 2 2 4" xfId="3347" xr:uid="{01A05DAD-E8B7-41B3-934F-9847DCAA1E36}"/>
    <cellStyle name="Normal 4 3 2 2 2 2 2 2 5" xfId="2518" xr:uid="{0885EEA3-B2CB-4D46-8A2D-AFD0CD581C8A}"/>
    <cellStyle name="Normal 4 3 2 2 2 2 2 2 6" xfId="1689" xr:uid="{7005C78C-5E97-4499-BBA4-45FED4DD3A58}"/>
    <cellStyle name="Normal 4 3 2 2 2 2 2 3" xfId="3760" xr:uid="{6717B591-CDE4-4368-A4B1-3D2A30D4059A}"/>
    <cellStyle name="Normal 4 3 2 2 2 2 2 3 2" xfId="5989" xr:uid="{C43200BA-3B0E-42BC-A178-63EFB027CB4F}"/>
    <cellStyle name="Normal 4 3 2 2 2 2 2 3 2 2" xfId="10207" xr:uid="{485555AE-98CD-4318-A888-9F144EC63BE7}"/>
    <cellStyle name="Normal 4 3 2 2 2 2 2 3 3" xfId="8062" xr:uid="{7C85FFC1-DFAA-4DF7-BA4D-E78BAA357517}"/>
    <cellStyle name="Normal 4 3 2 2 2 2 2 4" xfId="4173" xr:uid="{50CE55F0-974E-4AF0-B9A1-8D93CD517E2C}"/>
    <cellStyle name="Normal 4 3 2 2 2 2 2 4 2" xfId="6402" xr:uid="{CD08F5AD-807A-4688-88BE-BFFF284B443A}"/>
    <cellStyle name="Normal 4 3 2 2 2 2 2 4 2 2" xfId="10620" xr:uid="{9ADDA6C4-7978-4A91-880A-A0585B8AC0E7}"/>
    <cellStyle name="Normal 4 3 2 2 2 2 2 4 3" xfId="8475" xr:uid="{1E183903-DADC-4CE6-A17A-B4AE489F84DC}"/>
    <cellStyle name="Normal 4 3 2 2 2 2 2 5" xfId="4586" xr:uid="{C999AB4D-9766-4FD0-A610-C17C30BC46E9}"/>
    <cellStyle name="Normal 4 3 2 2 2 2 2 5 2" xfId="6815" xr:uid="{819BC809-DAD7-4DA6-87FB-2EC65ABF1638}"/>
    <cellStyle name="Normal 4 3 2 2 2 2 2 5 2 2" xfId="11033" xr:uid="{F912A1D2-625D-4178-A0AF-B4135386E8B6}"/>
    <cellStyle name="Normal 4 3 2 2 2 2 2 5 3" xfId="8888" xr:uid="{B0C28403-C32D-4E8D-A3E8-EC58F6FF2CA3}"/>
    <cellStyle name="Normal 4 3 2 2 2 2 2 6" xfId="5022" xr:uid="{28774410-2DE4-4F02-8A59-912F69962253}"/>
    <cellStyle name="Normal 4 3 2 2 2 2 2 6 2" xfId="9301" xr:uid="{A205E015-D389-4429-8A17-C1BA0B7ADE9F}"/>
    <cellStyle name="Normal 4 3 2 2 2 2 2 7" xfId="7236" xr:uid="{F0C25564-9AC4-4CF6-B65D-6F2A346D1370}"/>
    <cellStyle name="Normal 4 3 2 2 2 2 2 8" xfId="2932" xr:uid="{6130294F-F5A1-45EA-9DE2-A879820D099F}"/>
    <cellStyle name="Normal 4 3 2 2 2 2 2 9" xfId="2102" xr:uid="{24C178AA-EA61-4B52-8835-008533162FE3}"/>
    <cellStyle name="Normal 4 3 2 2 2 2 3" xfId="853" xr:uid="{00000000-0005-0000-0000-00008B020000}"/>
    <cellStyle name="Normal 4 3 2 2 2 2 3 2" xfId="5575" xr:uid="{FA9919BE-DBBE-48DD-BFBF-4EFCBBC83F85}"/>
    <cellStyle name="Normal 4 3 2 2 2 2 3 2 2" xfId="9793" xr:uid="{720AF8A3-6BE6-4F85-B24E-AD050B1E142E}"/>
    <cellStyle name="Normal 4 3 2 2 2 2 3 3" xfId="7648" xr:uid="{A88F0A9A-7F27-478F-94C8-4C38BA33B6F3}"/>
    <cellStyle name="Normal 4 3 2 2 2 2 3 4" xfId="3346" xr:uid="{8F99E99D-2A42-41D0-8751-BB767DBC46FC}"/>
    <cellStyle name="Normal 4 3 2 2 2 2 3 5" xfId="2517" xr:uid="{237D38C8-CCA3-44B3-AAF7-4BBC693205CD}"/>
    <cellStyle name="Normal 4 3 2 2 2 2 3 6" xfId="1688" xr:uid="{EB997B42-AE5E-4FCE-8C9B-2185B963484D}"/>
    <cellStyle name="Normal 4 3 2 2 2 2 4" xfId="3759" xr:uid="{E010C92B-0A88-44E9-B427-803EF5D218B5}"/>
    <cellStyle name="Normal 4 3 2 2 2 2 4 2" xfId="5988" xr:uid="{89443482-0772-4A07-8870-6F92B52D9AAF}"/>
    <cellStyle name="Normal 4 3 2 2 2 2 4 2 2" xfId="10206" xr:uid="{AE86FFED-6369-4BF4-A83F-B4FDD39DDFD3}"/>
    <cellStyle name="Normal 4 3 2 2 2 2 4 3" xfId="8061" xr:uid="{F1140CE1-338B-4DE7-8AA9-2108D4AAF358}"/>
    <cellStyle name="Normal 4 3 2 2 2 2 5" xfId="4172" xr:uid="{B409152C-02AF-4F58-A67C-823193CCC2A1}"/>
    <cellStyle name="Normal 4 3 2 2 2 2 5 2" xfId="6401" xr:uid="{07057727-FB75-4D92-82F4-528CD4F43CEF}"/>
    <cellStyle name="Normal 4 3 2 2 2 2 5 2 2" xfId="10619" xr:uid="{8AD43546-6BB7-4EFC-8250-0734E4F14A25}"/>
    <cellStyle name="Normal 4 3 2 2 2 2 5 3" xfId="8474" xr:uid="{5F6C251F-F147-43E5-BEA7-9DA89158230A}"/>
    <cellStyle name="Normal 4 3 2 2 2 2 6" xfId="4585" xr:uid="{5F142C8E-71A0-4D21-AD0D-B6B29BB93B03}"/>
    <cellStyle name="Normal 4 3 2 2 2 2 6 2" xfId="6814" xr:uid="{197E2CDE-F169-41C3-9BBB-508E64E3C7FA}"/>
    <cellStyle name="Normal 4 3 2 2 2 2 6 2 2" xfId="11032" xr:uid="{902B4DFA-A3C6-4E3D-898A-BD0A4A24D3FF}"/>
    <cellStyle name="Normal 4 3 2 2 2 2 6 3" xfId="8887" xr:uid="{079370A5-A1E0-46EB-B450-F9910A5430C1}"/>
    <cellStyle name="Normal 4 3 2 2 2 2 7" xfId="5021" xr:uid="{DF67724D-DF73-4A7E-B6E6-0E9CD5035E6C}"/>
    <cellStyle name="Normal 4 3 2 2 2 2 7 2" xfId="9300" xr:uid="{DC764258-5570-44E2-8F26-6116C7654BEC}"/>
    <cellStyle name="Normal 4 3 2 2 2 2 8" xfId="7235" xr:uid="{83943FC4-78C4-4FE2-A01D-EF018F721A79}"/>
    <cellStyle name="Normal 4 3 2 2 2 2 9" xfId="2931" xr:uid="{9B13A7D9-5AE3-400A-BB6C-F919B7486C0C}"/>
    <cellStyle name="Normal 4 3 2 2 2 3" xfId="375" xr:uid="{00000000-0005-0000-0000-00008C020000}"/>
    <cellStyle name="Normal 4 3 2 2 2 3 10" xfId="1274" xr:uid="{CC47A31B-4C69-41E1-868E-9CE2197425DB}"/>
    <cellStyle name="Normal 4 3 2 2 2 3 2" xfId="855" xr:uid="{00000000-0005-0000-0000-00008D020000}"/>
    <cellStyle name="Normal 4 3 2 2 2 3 2 2" xfId="5577" xr:uid="{9E920671-0D64-4485-8593-AD5174606E3C}"/>
    <cellStyle name="Normal 4 3 2 2 2 3 2 2 2" xfId="9795" xr:uid="{3EA2B6E7-D7B3-44BE-8022-C8554BF00469}"/>
    <cellStyle name="Normal 4 3 2 2 2 3 2 3" xfId="7650" xr:uid="{770268D4-D8F9-4FC1-A573-64743B96DF77}"/>
    <cellStyle name="Normal 4 3 2 2 2 3 2 4" xfId="3348" xr:uid="{29BFC8A6-F246-4333-AF68-04BB5CAFC246}"/>
    <cellStyle name="Normal 4 3 2 2 2 3 2 5" xfId="2519" xr:uid="{B7D3686B-9EED-4D8B-80ED-F2C86D375530}"/>
    <cellStyle name="Normal 4 3 2 2 2 3 2 6" xfId="1690" xr:uid="{53CA3568-3389-4B99-9257-DE4AF63E170A}"/>
    <cellStyle name="Normal 4 3 2 2 2 3 3" xfId="3761" xr:uid="{12275BAA-77EE-4B55-B5CB-EC74EE1977BC}"/>
    <cellStyle name="Normal 4 3 2 2 2 3 3 2" xfId="5990" xr:uid="{A782D299-E208-43D6-AF8B-0F862C6B1D04}"/>
    <cellStyle name="Normal 4 3 2 2 2 3 3 2 2" xfId="10208" xr:uid="{7662B8D7-0902-4E55-9A05-F8CE32064669}"/>
    <cellStyle name="Normal 4 3 2 2 2 3 3 3" xfId="8063" xr:uid="{AA48EFFC-4529-4402-9C42-A6E54B7B8184}"/>
    <cellStyle name="Normal 4 3 2 2 2 3 4" xfId="4174" xr:uid="{1014B502-697D-4DF0-BFA6-535F5010B7FA}"/>
    <cellStyle name="Normal 4 3 2 2 2 3 4 2" xfId="6403" xr:uid="{32420C91-593C-47CF-A2F2-DB847CB79CA5}"/>
    <cellStyle name="Normal 4 3 2 2 2 3 4 2 2" xfId="10621" xr:uid="{715EE49D-A9A6-4F2E-93D9-91545C827AA2}"/>
    <cellStyle name="Normal 4 3 2 2 2 3 4 3" xfId="8476" xr:uid="{0D951D45-9F03-4EEB-8772-3F4AF47B2D13}"/>
    <cellStyle name="Normal 4 3 2 2 2 3 5" xfId="4587" xr:uid="{C8EB4247-FC76-40C4-B345-D675010737AA}"/>
    <cellStyle name="Normal 4 3 2 2 2 3 5 2" xfId="6816" xr:uid="{D8891AF4-B5B9-4E78-ADA2-D19A5EF80A47}"/>
    <cellStyle name="Normal 4 3 2 2 2 3 5 2 2" xfId="11034" xr:uid="{B641C04B-0C78-4296-B1EE-958C83F2D397}"/>
    <cellStyle name="Normal 4 3 2 2 2 3 5 3" xfId="8889" xr:uid="{52A859F4-65D8-4B95-A062-9292A5429DCB}"/>
    <cellStyle name="Normal 4 3 2 2 2 3 6" xfId="5023" xr:uid="{2F698AAE-2C4D-4D53-BC94-600F1B0F51E1}"/>
    <cellStyle name="Normal 4 3 2 2 2 3 6 2" xfId="9302" xr:uid="{643FC13B-848E-43AF-9EAF-559687B996A7}"/>
    <cellStyle name="Normal 4 3 2 2 2 3 7" xfId="7237" xr:uid="{51A324D9-A35A-4980-82F3-1581BD138305}"/>
    <cellStyle name="Normal 4 3 2 2 2 3 8" xfId="2933" xr:uid="{911081D0-C33F-4991-9362-27B572A521D2}"/>
    <cellStyle name="Normal 4 3 2 2 2 3 9" xfId="2103" xr:uid="{BEDB97EF-6F3E-4EC0-A6C3-A4ECAA32B26C}"/>
    <cellStyle name="Normal 4 3 2 2 2 4" xfId="852" xr:uid="{00000000-0005-0000-0000-00008E020000}"/>
    <cellStyle name="Normal 4 3 2 2 2 4 2" xfId="5574" xr:uid="{8B0EC001-08CE-43CD-AF5C-9BCA1DD51D38}"/>
    <cellStyle name="Normal 4 3 2 2 2 4 2 2" xfId="9792" xr:uid="{3A9CEF8D-36FA-4E04-9109-E462C902B181}"/>
    <cellStyle name="Normal 4 3 2 2 2 4 3" xfId="7647" xr:uid="{36AEDB2D-4F15-443B-AE76-AB8F24A780EB}"/>
    <cellStyle name="Normal 4 3 2 2 2 4 4" xfId="3345" xr:uid="{FD707459-FA21-441A-A3E7-CBA74FDD7131}"/>
    <cellStyle name="Normal 4 3 2 2 2 4 5" xfId="2516" xr:uid="{FE38535D-2264-4001-896A-DCDE534F812A}"/>
    <cellStyle name="Normal 4 3 2 2 2 4 6" xfId="1687" xr:uid="{F6B73377-BB3D-4D40-9030-B02EC716770F}"/>
    <cellStyle name="Normal 4 3 2 2 2 5" xfId="3758" xr:uid="{E0AE59AB-DEE4-4BB9-BEE7-1067C1B11C5B}"/>
    <cellStyle name="Normal 4 3 2 2 2 5 2" xfId="5987" xr:uid="{111E7047-2D93-4472-9D22-B572C790F462}"/>
    <cellStyle name="Normal 4 3 2 2 2 5 2 2" xfId="10205" xr:uid="{067D61EA-6F60-4716-AC93-0035BAD96853}"/>
    <cellStyle name="Normal 4 3 2 2 2 5 3" xfId="8060" xr:uid="{C711490B-9782-4A90-BC27-2B8AF5BA7FD7}"/>
    <cellStyle name="Normal 4 3 2 2 2 6" xfId="4171" xr:uid="{AB76C1C7-F051-4950-A22E-B4AD5B4E086D}"/>
    <cellStyle name="Normal 4 3 2 2 2 6 2" xfId="6400" xr:uid="{E71E5341-E405-4A27-BBDB-9DF29C3680EC}"/>
    <cellStyle name="Normal 4 3 2 2 2 6 2 2" xfId="10618" xr:uid="{774A0A58-3B71-41F4-B3A7-5A423C6D4D9F}"/>
    <cellStyle name="Normal 4 3 2 2 2 6 3" xfId="8473" xr:uid="{1E85F134-983A-419F-9E47-00BE603D0BF6}"/>
    <cellStyle name="Normal 4 3 2 2 2 7" xfId="4584" xr:uid="{B3B660E7-AEF9-4CD6-8FAA-D24644416DC7}"/>
    <cellStyle name="Normal 4 3 2 2 2 7 2" xfId="6813" xr:uid="{C691B534-DF0F-4B84-BE7A-E68FAE0AE878}"/>
    <cellStyle name="Normal 4 3 2 2 2 7 2 2" xfId="11031" xr:uid="{DDC8E641-8B4E-4DB4-B3E8-4262378E7394}"/>
    <cellStyle name="Normal 4 3 2 2 2 7 3" xfId="8886" xr:uid="{C7C54E82-9836-4B7B-BB6B-985F7931B1C5}"/>
    <cellStyle name="Normal 4 3 2 2 2 8" xfId="5020" xr:uid="{554C57F3-5B71-4A5D-92D7-98B795BF6B45}"/>
    <cellStyle name="Normal 4 3 2 2 2 8 2" xfId="9299" xr:uid="{8BAE6C96-212E-43D5-848D-FACF4D522A8E}"/>
    <cellStyle name="Normal 4 3 2 2 2 9" xfId="7234" xr:uid="{36939704-9CBC-463F-93DC-2B770941262A}"/>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2934" xr:uid="{32B7BC49-26C5-480D-87BB-F03A3A90ACF3}"/>
    <cellStyle name="Normal 4 3 3 11" xfId="2104" xr:uid="{2A82DBC2-028A-41B3-A94A-822C323C0C88}"/>
    <cellStyle name="Normal 4 3 3 12" xfId="1275" xr:uid="{DC6589CB-6E6C-428B-9ABC-45C365D54B36}"/>
    <cellStyle name="Normal 4 3 3 2" xfId="378" xr:uid="{00000000-0005-0000-0000-000093020000}"/>
    <cellStyle name="Normal 4 3 3 2 10" xfId="2105" xr:uid="{49868904-C32F-45F0-9C67-8B73F17DB3F0}"/>
    <cellStyle name="Normal 4 3 3 2 11" xfId="1276" xr:uid="{F72A0084-FD6A-45A5-9B57-6D9881FA49CF}"/>
    <cellStyle name="Normal 4 3 3 2 2" xfId="379" xr:uid="{00000000-0005-0000-0000-000094020000}"/>
    <cellStyle name="Normal 4 3 3 2 2 10" xfId="1277" xr:uid="{09897759-A802-4EE9-A895-FFA7F864CECB}"/>
    <cellStyle name="Normal 4 3 3 2 2 2" xfId="859" xr:uid="{00000000-0005-0000-0000-000095020000}"/>
    <cellStyle name="Normal 4 3 3 2 2 2 2" xfId="5580" xr:uid="{0EAFDDCA-3BE0-48E1-B142-A8DBD816BF40}"/>
    <cellStyle name="Normal 4 3 3 2 2 2 2 2" xfId="9798" xr:uid="{26FA349C-7DBC-4EF3-B539-6CCEBC4A96B1}"/>
    <cellStyle name="Normal 4 3 3 2 2 2 3" xfId="7653" xr:uid="{4B2D706C-34AF-4401-8B02-9A6BE422B41D}"/>
    <cellStyle name="Normal 4 3 3 2 2 2 4" xfId="3351" xr:uid="{D85DAF3F-070C-4AA8-9795-66862612B772}"/>
    <cellStyle name="Normal 4 3 3 2 2 2 5" xfId="2522" xr:uid="{355350CB-20D9-4FBF-BB45-5B5DDE6D4298}"/>
    <cellStyle name="Normal 4 3 3 2 2 2 6" xfId="1693" xr:uid="{354BAE82-ED2F-4D8F-B49D-80FE49617A5A}"/>
    <cellStyle name="Normal 4 3 3 2 2 3" xfId="3764" xr:uid="{A854BFF9-6962-4F58-AF22-F6DCDDB76875}"/>
    <cellStyle name="Normal 4 3 3 2 2 3 2" xfId="5993" xr:uid="{481BABF2-E918-47D3-AFFA-03C41C9B67A4}"/>
    <cellStyle name="Normal 4 3 3 2 2 3 2 2" xfId="10211" xr:uid="{252D98A0-C19D-4E72-A13D-D9C14519FF58}"/>
    <cellStyle name="Normal 4 3 3 2 2 3 3" xfId="8066" xr:uid="{328E59B9-B57D-4506-A128-12747E7CE175}"/>
    <cellStyle name="Normal 4 3 3 2 2 4" xfId="4177" xr:uid="{EBD2E87F-53F4-4FFA-A430-4BCE1F439B5E}"/>
    <cellStyle name="Normal 4 3 3 2 2 4 2" xfId="6406" xr:uid="{DDC4996C-B980-4C1A-B938-122C099F6271}"/>
    <cellStyle name="Normal 4 3 3 2 2 4 2 2" xfId="10624" xr:uid="{6054761C-0E5C-49BE-BA92-98363ABF093E}"/>
    <cellStyle name="Normal 4 3 3 2 2 4 3" xfId="8479" xr:uid="{AB5E1A15-225E-4DB4-9DEC-B50B43BCCAF6}"/>
    <cellStyle name="Normal 4 3 3 2 2 5" xfId="4590" xr:uid="{0D75C260-258F-4955-8758-D31D0038689E}"/>
    <cellStyle name="Normal 4 3 3 2 2 5 2" xfId="6819" xr:uid="{9FB3896B-2E95-4BE4-97EB-EC4985F1518A}"/>
    <cellStyle name="Normal 4 3 3 2 2 5 2 2" xfId="11037" xr:uid="{0BD8B8F8-CCC6-449C-AC4B-90AAED2EB5C0}"/>
    <cellStyle name="Normal 4 3 3 2 2 5 3" xfId="8892" xr:uid="{DE96031E-F1AD-42CF-B8B9-28876448B1FC}"/>
    <cellStyle name="Normal 4 3 3 2 2 6" xfId="5026" xr:uid="{9257F76F-B2DD-4AD6-91F0-CA1C197AEC0F}"/>
    <cellStyle name="Normal 4 3 3 2 2 6 2" xfId="9305" xr:uid="{D78B5649-FFE4-4063-B5BC-D084FD08748D}"/>
    <cellStyle name="Normal 4 3 3 2 2 7" xfId="7240" xr:uid="{CE334200-95A1-4B3A-9528-6F1178515EBA}"/>
    <cellStyle name="Normal 4 3 3 2 2 8" xfId="2936" xr:uid="{6EE93546-84BC-45FE-87FA-A9079253C52C}"/>
    <cellStyle name="Normal 4 3 3 2 2 9" xfId="2106" xr:uid="{C73DDB86-9CD9-410B-B9BD-3648BF31FD5D}"/>
    <cellStyle name="Normal 4 3 3 2 3" xfId="858" xr:uid="{00000000-0005-0000-0000-000096020000}"/>
    <cellStyle name="Normal 4 3 3 2 3 2" xfId="5579" xr:uid="{C4BE44EC-E208-44E9-B57F-88ABEEC11285}"/>
    <cellStyle name="Normal 4 3 3 2 3 2 2" xfId="9797" xr:uid="{74C864C0-331B-4997-92BB-5CCB20AFFA57}"/>
    <cellStyle name="Normal 4 3 3 2 3 3" xfId="7652" xr:uid="{F589F8E6-C396-4A5B-A0AF-572C159798AC}"/>
    <cellStyle name="Normal 4 3 3 2 3 4" xfId="3350" xr:uid="{19DA5E8A-D041-4587-B8DC-01901A7B6A15}"/>
    <cellStyle name="Normal 4 3 3 2 3 5" xfId="2521" xr:uid="{F305F490-90A9-43F5-82ED-1381AC55A799}"/>
    <cellStyle name="Normal 4 3 3 2 3 6" xfId="1692" xr:uid="{51988BF4-703F-46C5-90A5-9C9114D184BF}"/>
    <cellStyle name="Normal 4 3 3 2 4" xfId="3763" xr:uid="{048B1B7F-B0BF-4CA3-8CA4-62FACBAC0CAC}"/>
    <cellStyle name="Normal 4 3 3 2 4 2" xfId="5992" xr:uid="{F2DEB589-3F08-47F4-B3F4-7B629B36CF74}"/>
    <cellStyle name="Normal 4 3 3 2 4 2 2" xfId="10210" xr:uid="{18AB69AA-F973-45DC-9EB0-A3C0A04076A2}"/>
    <cellStyle name="Normal 4 3 3 2 4 3" xfId="8065" xr:uid="{48716067-A649-4907-9EC5-B89C7B20CCB7}"/>
    <cellStyle name="Normal 4 3 3 2 5" xfId="4176" xr:uid="{0D3457F8-849F-4BE3-A052-5B1AC2494727}"/>
    <cellStyle name="Normal 4 3 3 2 5 2" xfId="6405" xr:uid="{274A7992-7F7B-4722-B96E-90C519A53545}"/>
    <cellStyle name="Normal 4 3 3 2 5 2 2" xfId="10623" xr:uid="{A1258861-9F18-4886-A112-5E0A7E8B0A91}"/>
    <cellStyle name="Normal 4 3 3 2 5 3" xfId="8478" xr:uid="{16D64E88-DA18-40D5-A4B0-3117EA23BBC1}"/>
    <cellStyle name="Normal 4 3 3 2 6" xfId="4589" xr:uid="{52885B14-DA63-47D7-A6DF-C398C3B109BE}"/>
    <cellStyle name="Normal 4 3 3 2 6 2" xfId="6818" xr:uid="{7E2CA033-4C0C-4B38-ACC0-C963FB47E90C}"/>
    <cellStyle name="Normal 4 3 3 2 6 2 2" xfId="11036" xr:uid="{197106EC-665B-4E29-AB8D-C49846E5C186}"/>
    <cellStyle name="Normal 4 3 3 2 6 3" xfId="8891" xr:uid="{EE4AFF17-5A03-4FDD-8A0B-6499BB8C8E1B}"/>
    <cellStyle name="Normal 4 3 3 2 7" xfId="5025" xr:uid="{558B1BF9-D6B2-456A-AE10-EBE025449E5F}"/>
    <cellStyle name="Normal 4 3 3 2 7 2" xfId="9304" xr:uid="{173EED8C-E057-411C-9765-A693C2BD4E0B}"/>
    <cellStyle name="Normal 4 3 3 2 8" xfId="7239" xr:uid="{97212980-8E5A-4B1C-B53B-B59D02F35EFA}"/>
    <cellStyle name="Normal 4 3 3 2 9" xfId="2935" xr:uid="{D2981B44-B69B-4852-859F-D6F3AEA2558B}"/>
    <cellStyle name="Normal 4 3 3 3" xfId="380" xr:uid="{00000000-0005-0000-0000-000097020000}"/>
    <cellStyle name="Normal 4 3 3 3 10" xfId="1278" xr:uid="{1BE414C9-1DE8-43BC-B8EE-D24CA20DCC39}"/>
    <cellStyle name="Normal 4 3 3 3 2" xfId="860" xr:uid="{00000000-0005-0000-0000-000098020000}"/>
    <cellStyle name="Normal 4 3 3 3 2 2" xfId="5581" xr:uid="{FD62562D-B1F8-41FA-B1E4-0C5DAF90E5F0}"/>
    <cellStyle name="Normal 4 3 3 3 2 2 2" xfId="9799" xr:uid="{5474024E-8162-4943-A850-38D119DB8FE2}"/>
    <cellStyle name="Normal 4 3 3 3 2 3" xfId="7654" xr:uid="{B62FC02F-B08F-43CC-88BF-26BFEFE0A69A}"/>
    <cellStyle name="Normal 4 3 3 3 2 4" xfId="3352" xr:uid="{856FA323-C5DC-48D2-B36B-302D3EB69653}"/>
    <cellStyle name="Normal 4 3 3 3 2 5" xfId="2523" xr:uid="{0417334D-49EE-47B0-980B-1D7172B7AC29}"/>
    <cellStyle name="Normal 4 3 3 3 2 6" xfId="1694" xr:uid="{A1FE6D76-9A5C-4470-9FA7-CA9A924B82F7}"/>
    <cellStyle name="Normal 4 3 3 3 3" xfId="3765" xr:uid="{05A45A03-4923-4ED6-AFEE-A029865B52E5}"/>
    <cellStyle name="Normal 4 3 3 3 3 2" xfId="5994" xr:uid="{F214C03E-9A6D-4F79-A13B-6062BD537FF9}"/>
    <cellStyle name="Normal 4 3 3 3 3 2 2" xfId="10212" xr:uid="{E3ADD36C-65D6-4494-97FF-A69DB30DFD3A}"/>
    <cellStyle name="Normal 4 3 3 3 3 3" xfId="8067" xr:uid="{D8A2EE11-E010-4700-BEB4-22D73E4E2032}"/>
    <cellStyle name="Normal 4 3 3 3 4" xfId="4178" xr:uid="{D60B4EA4-C0A4-4BF4-902C-7FBD05FC1510}"/>
    <cellStyle name="Normal 4 3 3 3 4 2" xfId="6407" xr:uid="{EABA6B4B-1771-457E-8C1F-43D9721338EC}"/>
    <cellStyle name="Normal 4 3 3 3 4 2 2" xfId="10625" xr:uid="{F0BA7FAC-869A-4550-A9B8-0B745908A8A5}"/>
    <cellStyle name="Normal 4 3 3 3 4 3" xfId="8480" xr:uid="{7747022B-E9FD-4829-AC05-16AA284A1367}"/>
    <cellStyle name="Normal 4 3 3 3 5" xfId="4591" xr:uid="{BA4BA007-BBDB-43E8-BD37-86CA6492DF07}"/>
    <cellStyle name="Normal 4 3 3 3 5 2" xfId="6820" xr:uid="{B4F5FB64-19D8-45AC-B264-B7883D73CC54}"/>
    <cellStyle name="Normal 4 3 3 3 5 2 2" xfId="11038" xr:uid="{D0229A67-AAC4-4B70-8599-C8C257F6A5C5}"/>
    <cellStyle name="Normal 4 3 3 3 5 3" xfId="8893" xr:uid="{F8C11D70-209E-4EF1-ABBA-D8DBAE7292A0}"/>
    <cellStyle name="Normal 4 3 3 3 6" xfId="5027" xr:uid="{BA530D3C-DCD7-4EF9-9AB6-F823FD50D722}"/>
    <cellStyle name="Normal 4 3 3 3 6 2" xfId="9306" xr:uid="{90559477-A8C0-4977-A06E-F7702C7E0CED}"/>
    <cellStyle name="Normal 4 3 3 3 7" xfId="7241" xr:uid="{3EC963DC-A36F-4959-87B0-91F6D97C6ECF}"/>
    <cellStyle name="Normal 4 3 3 3 8" xfId="2937" xr:uid="{C6A18E72-5F0E-48D8-8806-F6AECEDEBEE5}"/>
    <cellStyle name="Normal 4 3 3 3 9" xfId="2107" xr:uid="{1488ED8C-0470-4D1A-B125-4A5B4C1ACD0D}"/>
    <cellStyle name="Normal 4 3 3 4" xfId="857" xr:uid="{00000000-0005-0000-0000-000099020000}"/>
    <cellStyle name="Normal 4 3 3 4 2" xfId="5578" xr:uid="{B889F838-5007-41AF-913E-027818EC0718}"/>
    <cellStyle name="Normal 4 3 3 4 2 2" xfId="9796" xr:uid="{48228D17-AA22-4181-9CBF-EDDF03D6FFC5}"/>
    <cellStyle name="Normal 4 3 3 4 3" xfId="7651" xr:uid="{76AFFECB-FA65-42F7-A4D1-17022DE8AFC7}"/>
    <cellStyle name="Normal 4 3 3 4 4" xfId="3349" xr:uid="{8192133C-C285-405C-BF2A-D76D3D3A1350}"/>
    <cellStyle name="Normal 4 3 3 4 5" xfId="2520" xr:uid="{71A01446-A883-48C7-8DCB-63E95489630C}"/>
    <cellStyle name="Normal 4 3 3 4 6" xfId="1691" xr:uid="{E54D0C2C-68B4-4234-AAA0-8F1124CB1D76}"/>
    <cellStyle name="Normal 4 3 3 5" xfId="3762" xr:uid="{08F067A3-1698-4DEE-A61A-DC49F321C56C}"/>
    <cellStyle name="Normal 4 3 3 5 2" xfId="5991" xr:uid="{49A25FF6-E4B2-4E59-8013-66B09FA80A9B}"/>
    <cellStyle name="Normal 4 3 3 5 2 2" xfId="10209" xr:uid="{3DA551D1-4343-417E-8D82-B87B721F7CD2}"/>
    <cellStyle name="Normal 4 3 3 5 3" xfId="8064" xr:uid="{2789C092-CD36-42B6-B93A-1879463B89C3}"/>
    <cellStyle name="Normal 4 3 3 6" xfId="4175" xr:uid="{32B838BE-2C45-4ABC-9CD1-4ADDCAC981A1}"/>
    <cellStyle name="Normal 4 3 3 6 2" xfId="6404" xr:uid="{4B3FE525-A4E9-49F4-85F3-36003D53150B}"/>
    <cellStyle name="Normal 4 3 3 6 2 2" xfId="10622" xr:uid="{2AE9AB1B-3CEB-4FEC-A6E9-090BAD0C4F3D}"/>
    <cellStyle name="Normal 4 3 3 6 3" xfId="8477" xr:uid="{8B2606D2-1EFD-43C4-9893-91D5FA6D73A8}"/>
    <cellStyle name="Normal 4 3 3 7" xfId="4588" xr:uid="{353C8B70-C416-46A0-B4B8-41D0CCEC5933}"/>
    <cellStyle name="Normal 4 3 3 7 2" xfId="6817" xr:uid="{1BEF668E-FA83-4BF8-817F-460EA0F8D7C2}"/>
    <cellStyle name="Normal 4 3 3 7 2 2" xfId="11035" xr:uid="{DBB80327-B673-49E1-94AB-5C2D86A050BB}"/>
    <cellStyle name="Normal 4 3 3 7 3" xfId="8890" xr:uid="{2CE17858-3F0C-4A6E-9344-A77DECE2A232}"/>
    <cellStyle name="Normal 4 3 3 8" xfId="5024" xr:uid="{2045C595-CBD7-421C-83AD-B53B92647935}"/>
    <cellStyle name="Normal 4 3 3 8 2" xfId="9303" xr:uid="{E901EFE9-FB22-4BD3-9E51-EE83923C2E75}"/>
    <cellStyle name="Normal 4 3 3 9" xfId="7238" xr:uid="{B16E1E97-267A-434E-8C70-5849F245C234}"/>
    <cellStyle name="Normal 4 3 4" xfId="850" xr:uid="{00000000-0005-0000-0000-00009A020000}"/>
    <cellStyle name="Normal 4 3 4 2" xfId="5573" xr:uid="{5AD7FB03-388D-4502-A3BF-02F01F45239E}"/>
    <cellStyle name="Normal 4 3 4 2 2" xfId="9791" xr:uid="{845C3FCF-9525-45E9-B4C7-718140A21C55}"/>
    <cellStyle name="Normal 4 3 4 3" xfId="7646" xr:uid="{EC39C81D-903D-4897-B362-1D7A781BF5D8}"/>
    <cellStyle name="Normal 4 3 4 4" xfId="3344" xr:uid="{C19181FB-6D87-400F-8897-AB765942FEFC}"/>
    <cellStyle name="Normal 4 3 4 5" xfId="2515" xr:uid="{BF95ABEA-263D-4C7F-9214-E9F0C8E2E670}"/>
    <cellStyle name="Normal 4 3 4 6" xfId="1686" xr:uid="{124F0A51-AA7D-430B-9256-A881B30042ED}"/>
    <cellStyle name="Normal 4 3 5" xfId="3757" xr:uid="{43BC3F36-26AA-4331-AD48-FF942384AD2D}"/>
    <cellStyle name="Normal 4 3 5 2" xfId="5986" xr:uid="{C6903941-5A03-44EB-A7A7-518E01935619}"/>
    <cellStyle name="Normal 4 3 5 2 2" xfId="10204" xr:uid="{8EDB5203-0368-4A9F-AB7A-6E6ECCF76193}"/>
    <cellStyle name="Normal 4 3 5 3" xfId="8059" xr:uid="{491A7125-87AB-467C-BA9D-ED138B21A099}"/>
    <cellStyle name="Normal 4 3 6" xfId="4170" xr:uid="{35179111-C773-4DD9-B5B6-E260D9DE0A2F}"/>
    <cellStyle name="Normal 4 3 6 2" xfId="6399" xr:uid="{BA6457CE-022E-411B-B2F2-27185DA69E8A}"/>
    <cellStyle name="Normal 4 3 6 2 2" xfId="10617" xr:uid="{BB3C4758-19E8-4E40-B1FA-10828A11D2E8}"/>
    <cellStyle name="Normal 4 3 6 3" xfId="8472" xr:uid="{F4124BE9-FBDB-4490-A506-FD91149744A2}"/>
    <cellStyle name="Normal 4 3 7" xfId="4583" xr:uid="{309DBFBE-7366-474C-81D9-F6E4809FB745}"/>
    <cellStyle name="Normal 4 3 7 2" xfId="6812" xr:uid="{9B8DB2D4-F8B9-4460-86AF-28030D98778D}"/>
    <cellStyle name="Normal 4 3 7 2 2" xfId="11030" xr:uid="{F6350FF2-8806-48E2-AA97-A6494B0E7FA8}"/>
    <cellStyle name="Normal 4 3 7 3" xfId="8885" xr:uid="{93D58DE5-9D7C-4930-A5C5-68925AF2E05B}"/>
    <cellStyle name="Normal 4 3 8" xfId="5019" xr:uid="{99785FAB-4D3C-43F0-A58A-E218C02BDFB3}"/>
    <cellStyle name="Normal 4 3 8 2" xfId="9298" xr:uid="{619E4DF0-27B4-4679-9DFD-F1657BA91909}"/>
    <cellStyle name="Normal 4 3 9" xfId="7233" xr:uid="{412B4756-9F1F-42F4-BE8B-F4462DECD977}"/>
    <cellStyle name="Normal 4 4" xfId="381" xr:uid="{00000000-0005-0000-0000-00009B020000}"/>
    <cellStyle name="Normal 4 4 10" xfId="5028" xr:uid="{2C43545B-85F9-4181-8A74-6E43802ADA28}"/>
    <cellStyle name="Normal 4 4 10 2" xfId="9307" xr:uid="{7EFE27B6-84D2-45AC-8473-2B58BDC348CA}"/>
    <cellStyle name="Normal 4 4 11" xfId="7242" xr:uid="{2F06231C-BCA6-4362-A616-6889DD7D1ECC}"/>
    <cellStyle name="Normal 4 4 12" xfId="2938" xr:uid="{70457C67-2398-4378-9012-AE7BB5B226CA}"/>
    <cellStyle name="Normal 4 4 13" xfId="2108" xr:uid="{37638A3A-A4C1-41DE-8700-7214D29F7361}"/>
    <cellStyle name="Normal 4 4 14" xfId="1279" xr:uid="{01BC820C-CA30-4D5A-8088-D549DFC7086A}"/>
    <cellStyle name="Normal 4 4 2" xfId="382" xr:uid="{00000000-0005-0000-0000-00009C020000}"/>
    <cellStyle name="Normal 4 4 2 10" xfId="7243" xr:uid="{6F9DC220-3AAD-4A49-827B-0D6A226CEE1B}"/>
    <cellStyle name="Normal 4 4 2 11" xfId="2939" xr:uid="{55C482A0-FE31-4826-BBF3-2BBFEDB633BE}"/>
    <cellStyle name="Normal 4 4 2 12" xfId="2109" xr:uid="{745D7945-6A3D-4792-A624-B2BC6FD8CC65}"/>
    <cellStyle name="Normal 4 4 2 13" xfId="1280" xr:uid="{24450549-3C84-4A93-BB16-B3319F3783D1}"/>
    <cellStyle name="Normal 4 4 2 2" xfId="383" xr:uid="{00000000-0005-0000-0000-00009D020000}"/>
    <cellStyle name="Normal 4 4 2 2 10" xfId="2940" xr:uid="{963CC33F-8393-4C1C-ABD1-FE5AC72B3C34}"/>
    <cellStyle name="Normal 4 4 2 2 11" xfId="2110" xr:uid="{D20EE572-E9C1-4C7B-A9A4-F1459CFBE70E}"/>
    <cellStyle name="Normal 4 4 2 2 12" xfId="1281" xr:uid="{77D4DC18-EDD8-459B-9D73-4BF55B386DBD}"/>
    <cellStyle name="Normal 4 4 2 2 2" xfId="384" xr:uid="{00000000-0005-0000-0000-00009E020000}"/>
    <cellStyle name="Normal 4 4 2 2 2 10" xfId="2111" xr:uid="{88331516-D602-4EBB-9380-257B8E733CA8}"/>
    <cellStyle name="Normal 4 4 2 2 2 11" xfId="1282" xr:uid="{19CE58B3-6CE7-4265-9859-46FA19943F38}"/>
    <cellStyle name="Normal 4 4 2 2 2 2" xfId="385" xr:uid="{00000000-0005-0000-0000-00009F020000}"/>
    <cellStyle name="Normal 4 4 2 2 2 2 10" xfId="1283" xr:uid="{F4DAB60A-9212-42A1-AD2C-65BA89A13DBF}"/>
    <cellStyle name="Normal 4 4 2 2 2 2 2" xfId="865" xr:uid="{00000000-0005-0000-0000-0000A0020000}"/>
    <cellStyle name="Normal 4 4 2 2 2 2 2 2" xfId="5586" xr:uid="{0188FD08-C26D-4D09-B3F9-0A862EA64DC9}"/>
    <cellStyle name="Normal 4 4 2 2 2 2 2 2 2" xfId="9804" xr:uid="{40E6DA1F-0369-40BA-8821-0AF21AC3F763}"/>
    <cellStyle name="Normal 4 4 2 2 2 2 2 3" xfId="7659" xr:uid="{D5E404D3-DF0F-429E-AFC4-B1990D2197AB}"/>
    <cellStyle name="Normal 4 4 2 2 2 2 2 4" xfId="3357" xr:uid="{A0C47E6A-DD4F-4CEB-B42C-BB884171B232}"/>
    <cellStyle name="Normal 4 4 2 2 2 2 2 5" xfId="2528" xr:uid="{F8A2A2D2-4570-4BC3-986D-F5C8BABD2326}"/>
    <cellStyle name="Normal 4 4 2 2 2 2 2 6" xfId="1699" xr:uid="{1206BE74-670D-485C-A73A-760650A7DB3C}"/>
    <cellStyle name="Normal 4 4 2 2 2 2 3" xfId="3770" xr:uid="{E855D5D8-403B-42EF-8AC5-B7DAED4CF616}"/>
    <cellStyle name="Normal 4 4 2 2 2 2 3 2" xfId="5999" xr:uid="{D6699E30-33E7-4D0D-A10E-1213504A1329}"/>
    <cellStyle name="Normal 4 4 2 2 2 2 3 2 2" xfId="10217" xr:uid="{85086037-A914-4581-BD8E-885ADB7AF4F5}"/>
    <cellStyle name="Normal 4 4 2 2 2 2 3 3" xfId="8072" xr:uid="{A2871899-923A-43BF-8D0B-7C1E5DC26E5E}"/>
    <cellStyle name="Normal 4 4 2 2 2 2 4" xfId="4183" xr:uid="{21A8806B-5979-4FCF-9213-67071DF6A5A6}"/>
    <cellStyle name="Normal 4 4 2 2 2 2 4 2" xfId="6412" xr:uid="{BCFD0FA8-5D8B-48C9-8A2D-8EAADAE50B67}"/>
    <cellStyle name="Normal 4 4 2 2 2 2 4 2 2" xfId="10630" xr:uid="{10871EC7-4A40-4EBB-A93B-ACCD9451E642}"/>
    <cellStyle name="Normal 4 4 2 2 2 2 4 3" xfId="8485" xr:uid="{8B104F98-C1DB-4C5E-A06A-4B5E55DA8F74}"/>
    <cellStyle name="Normal 4 4 2 2 2 2 5" xfId="4596" xr:uid="{D4497D6D-0422-447B-ABA8-08B58AB1FBF4}"/>
    <cellStyle name="Normal 4 4 2 2 2 2 5 2" xfId="6825" xr:uid="{D79C2F71-789F-4793-ACAD-EC61B078FF0B}"/>
    <cellStyle name="Normal 4 4 2 2 2 2 5 2 2" xfId="11043" xr:uid="{96383214-BB6C-4AEF-AB50-7DDB7A2A7224}"/>
    <cellStyle name="Normal 4 4 2 2 2 2 5 3" xfId="8898" xr:uid="{BADACC7E-1B50-4051-827F-17A4F1EAAEC4}"/>
    <cellStyle name="Normal 4 4 2 2 2 2 6" xfId="5032" xr:uid="{CE7AC3F2-3FFE-4D55-81F1-0212DC39EB8F}"/>
    <cellStyle name="Normal 4 4 2 2 2 2 6 2" xfId="9311" xr:uid="{DB66EF98-F10A-4CF7-896D-2718905E103F}"/>
    <cellStyle name="Normal 4 4 2 2 2 2 7" xfId="7246" xr:uid="{30638F75-F82F-4E50-B5C2-F0F38E0BE1DD}"/>
    <cellStyle name="Normal 4 4 2 2 2 2 8" xfId="2942" xr:uid="{14A06C37-885F-48BE-BDD0-5B799848AB0D}"/>
    <cellStyle name="Normal 4 4 2 2 2 2 9" xfId="2112" xr:uid="{811EA0BC-747C-4A91-AC08-8A75E27BAA46}"/>
    <cellStyle name="Normal 4 4 2 2 2 3" xfId="864" xr:uid="{00000000-0005-0000-0000-0000A1020000}"/>
    <cellStyle name="Normal 4 4 2 2 2 3 2" xfId="5585" xr:uid="{FA304416-E0A8-4EEC-913C-A9CC9F0347DB}"/>
    <cellStyle name="Normal 4 4 2 2 2 3 2 2" xfId="9803" xr:uid="{1A9B39B8-01DB-4EF7-946C-B2818F0B6C8D}"/>
    <cellStyle name="Normal 4 4 2 2 2 3 3" xfId="7658" xr:uid="{1402AA8F-CA76-47E0-B49A-CACC5536F480}"/>
    <cellStyle name="Normal 4 4 2 2 2 3 4" xfId="3356" xr:uid="{98DA68D5-BA8A-4B18-92E0-64D18F413E77}"/>
    <cellStyle name="Normal 4 4 2 2 2 3 5" xfId="2527" xr:uid="{99B4A4F0-CCC4-4ECA-82CE-8FC8B5557DEA}"/>
    <cellStyle name="Normal 4 4 2 2 2 3 6" xfId="1698" xr:uid="{55C42EA2-4C90-4226-879F-CF3E2E254FD1}"/>
    <cellStyle name="Normal 4 4 2 2 2 4" xfId="3769" xr:uid="{67805209-82E3-4338-A89C-F823BFDD6798}"/>
    <cellStyle name="Normal 4 4 2 2 2 4 2" xfId="5998" xr:uid="{D8D7F595-658B-4B4F-8F08-DCD41E14E740}"/>
    <cellStyle name="Normal 4 4 2 2 2 4 2 2" xfId="10216" xr:uid="{4FF2AC64-E565-4D41-B377-E6640ECD0F2E}"/>
    <cellStyle name="Normal 4 4 2 2 2 4 3" xfId="8071" xr:uid="{3AAE4136-4B7F-4766-875F-F030C3ACF4B6}"/>
    <cellStyle name="Normal 4 4 2 2 2 5" xfId="4182" xr:uid="{C9A26C5C-1D32-4D7B-95A8-BF824CA29A87}"/>
    <cellStyle name="Normal 4 4 2 2 2 5 2" xfId="6411" xr:uid="{D1C0FC7F-33DC-40CB-90D9-2442B9A9B5D7}"/>
    <cellStyle name="Normal 4 4 2 2 2 5 2 2" xfId="10629" xr:uid="{DE8BF8A1-475F-44FD-A4D9-FCD57854DA6B}"/>
    <cellStyle name="Normal 4 4 2 2 2 5 3" xfId="8484" xr:uid="{6EA94F25-21DC-4CB5-B275-957704CE9F48}"/>
    <cellStyle name="Normal 4 4 2 2 2 6" xfId="4595" xr:uid="{5556245F-4EE6-473D-B811-D66389A176B3}"/>
    <cellStyle name="Normal 4 4 2 2 2 6 2" xfId="6824" xr:uid="{435BB8C7-E274-4CDF-9C3D-7F60E98B540A}"/>
    <cellStyle name="Normal 4 4 2 2 2 6 2 2" xfId="11042" xr:uid="{1C04E250-3A27-47B1-B9A7-46AFA86EB869}"/>
    <cellStyle name="Normal 4 4 2 2 2 6 3" xfId="8897" xr:uid="{B102E97A-4463-47B0-BA5F-DF6314A0C72B}"/>
    <cellStyle name="Normal 4 4 2 2 2 7" xfId="5031" xr:uid="{60E53C4C-7A96-49E0-94C1-37C5495D0DC6}"/>
    <cellStyle name="Normal 4 4 2 2 2 7 2" xfId="9310" xr:uid="{C4957E5D-7BAD-4937-8123-9A260BB5AAB6}"/>
    <cellStyle name="Normal 4 4 2 2 2 8" xfId="7245" xr:uid="{E29087C0-CEDA-4627-BC60-717D3AD2D147}"/>
    <cellStyle name="Normal 4 4 2 2 2 9" xfId="2941" xr:uid="{F8259055-D2C6-4081-86F6-A293B51DC30E}"/>
    <cellStyle name="Normal 4 4 2 2 3" xfId="386" xr:uid="{00000000-0005-0000-0000-0000A2020000}"/>
    <cellStyle name="Normal 4 4 2 2 3 10" xfId="1284" xr:uid="{9DCBFEA5-974B-4E6D-BF0F-8B78FC46B963}"/>
    <cellStyle name="Normal 4 4 2 2 3 2" xfId="866" xr:uid="{00000000-0005-0000-0000-0000A3020000}"/>
    <cellStyle name="Normal 4 4 2 2 3 2 2" xfId="5587" xr:uid="{A2D0DC10-6FA3-4E29-AECB-783F2BD9A8D9}"/>
    <cellStyle name="Normal 4 4 2 2 3 2 2 2" xfId="9805" xr:uid="{6E032369-6D9E-4BA1-A21A-EA22C8B4D7D1}"/>
    <cellStyle name="Normal 4 4 2 2 3 2 3" xfId="7660" xr:uid="{132E9846-5EF7-44CA-AF0C-B756167F6CD9}"/>
    <cellStyle name="Normal 4 4 2 2 3 2 4" xfId="3358" xr:uid="{A877C7A6-DE4C-4D36-9110-E26F49B4EA39}"/>
    <cellStyle name="Normal 4 4 2 2 3 2 5" xfId="2529" xr:uid="{D7408E30-3F8B-44B3-B42C-40E71439EF60}"/>
    <cellStyle name="Normal 4 4 2 2 3 2 6" xfId="1700" xr:uid="{CDA01252-CFCF-4744-804C-8B912DE5BF53}"/>
    <cellStyle name="Normal 4 4 2 2 3 3" xfId="3771" xr:uid="{FEF7E577-8779-4C2D-B333-32E1307B2DF9}"/>
    <cellStyle name="Normal 4 4 2 2 3 3 2" xfId="6000" xr:uid="{DEA2AAB0-62B9-4085-BD9E-82CB726D71D5}"/>
    <cellStyle name="Normal 4 4 2 2 3 3 2 2" xfId="10218" xr:uid="{31EC7F9D-91AA-4A01-B594-B3F6D919EE92}"/>
    <cellStyle name="Normal 4 4 2 2 3 3 3" xfId="8073" xr:uid="{BD49E26D-8E2F-4BCC-92C2-A05D35C805AF}"/>
    <cellStyle name="Normal 4 4 2 2 3 4" xfId="4184" xr:uid="{9C00B576-88D6-4B74-9D97-4E3ECC4DAD6F}"/>
    <cellStyle name="Normal 4 4 2 2 3 4 2" xfId="6413" xr:uid="{9668A026-BAA0-4C74-BC72-EE681D6689B4}"/>
    <cellStyle name="Normal 4 4 2 2 3 4 2 2" xfId="10631" xr:uid="{DEA48561-B038-4602-BA38-0586908E0765}"/>
    <cellStyle name="Normal 4 4 2 2 3 4 3" xfId="8486" xr:uid="{3AA4F3F7-8C47-4B67-A797-92D0F67191B7}"/>
    <cellStyle name="Normal 4 4 2 2 3 5" xfId="4597" xr:uid="{C0F968A2-8719-4F36-BF6E-D8C387461324}"/>
    <cellStyle name="Normal 4 4 2 2 3 5 2" xfId="6826" xr:uid="{42AD9911-9BC4-4A4B-8F0C-26B0AA3917EE}"/>
    <cellStyle name="Normal 4 4 2 2 3 5 2 2" xfId="11044" xr:uid="{D8D1E0B7-B134-46D6-AB91-9044482A4366}"/>
    <cellStyle name="Normal 4 4 2 2 3 5 3" xfId="8899" xr:uid="{52C3E1C5-075F-49BA-80E7-DC008ED42C3A}"/>
    <cellStyle name="Normal 4 4 2 2 3 6" xfId="5033" xr:uid="{6CB67098-87CE-4863-B63E-E2F0F050A763}"/>
    <cellStyle name="Normal 4 4 2 2 3 6 2" xfId="9312" xr:uid="{C4A03FA3-54FA-4AC0-A3A5-EA08F692DA19}"/>
    <cellStyle name="Normal 4 4 2 2 3 7" xfId="7247" xr:uid="{D0D6BEE8-63EB-4071-9FEE-D8EAC8E3EFCE}"/>
    <cellStyle name="Normal 4 4 2 2 3 8" xfId="2943" xr:uid="{BB2EC54D-96A2-4B3D-A02A-5A669121CC32}"/>
    <cellStyle name="Normal 4 4 2 2 3 9" xfId="2113" xr:uid="{61BC2C78-1BC4-4F61-827F-5D2C5F50A1BA}"/>
    <cellStyle name="Normal 4 4 2 2 4" xfId="863" xr:uid="{00000000-0005-0000-0000-0000A4020000}"/>
    <cellStyle name="Normal 4 4 2 2 4 2" xfId="5584" xr:uid="{D55F085A-7619-4902-816E-B0C8F2E87299}"/>
    <cellStyle name="Normal 4 4 2 2 4 2 2" xfId="9802" xr:uid="{344123A0-9A5E-467D-B87C-3D1B8E3EAB8D}"/>
    <cellStyle name="Normal 4 4 2 2 4 3" xfId="7657" xr:uid="{F0C90578-5C6F-4544-A95A-457FB4863F4A}"/>
    <cellStyle name="Normal 4 4 2 2 4 4" xfId="3355" xr:uid="{A2949632-F424-40E0-A946-E6206006CCB7}"/>
    <cellStyle name="Normal 4 4 2 2 4 5" xfId="2526" xr:uid="{EA346046-22F9-4F66-90F2-07D907199C32}"/>
    <cellStyle name="Normal 4 4 2 2 4 6" xfId="1697" xr:uid="{C0A583BF-6A78-43F4-90DF-9F940E12D903}"/>
    <cellStyle name="Normal 4 4 2 2 5" xfId="3768" xr:uid="{6350EF83-374D-41CC-95CA-54D06EC83090}"/>
    <cellStyle name="Normal 4 4 2 2 5 2" xfId="5997" xr:uid="{365FEB8C-E609-47DE-A866-3DE8D3B897A5}"/>
    <cellStyle name="Normal 4 4 2 2 5 2 2" xfId="10215" xr:uid="{8B1BAA1F-554E-4C3D-8964-8B23EF7C421B}"/>
    <cellStyle name="Normal 4 4 2 2 5 3" xfId="8070" xr:uid="{EA6972F4-3FF2-4BE2-AEA6-AF46E74D3ACD}"/>
    <cellStyle name="Normal 4 4 2 2 6" xfId="4181" xr:uid="{DA55A745-14A8-4F40-8683-BB74A3C5FE6C}"/>
    <cellStyle name="Normal 4 4 2 2 6 2" xfId="6410" xr:uid="{365A53B5-D41D-4CC3-86AE-333839612A85}"/>
    <cellStyle name="Normal 4 4 2 2 6 2 2" xfId="10628" xr:uid="{2F3A135D-6902-4710-8BCF-9B9846B0C27F}"/>
    <cellStyle name="Normal 4 4 2 2 6 3" xfId="8483" xr:uid="{84241A26-EDF0-44E6-81E6-0A64D47F7984}"/>
    <cellStyle name="Normal 4 4 2 2 7" xfId="4594" xr:uid="{19DE0E1B-148F-428A-B35A-43A1D2E44EC2}"/>
    <cellStyle name="Normal 4 4 2 2 7 2" xfId="6823" xr:uid="{C5D2765C-77B1-4292-91D5-2BAC1F2D5DC3}"/>
    <cellStyle name="Normal 4 4 2 2 7 2 2" xfId="11041" xr:uid="{84D64AB7-F2E5-4334-A3A9-CEFA7CEA1F55}"/>
    <cellStyle name="Normal 4 4 2 2 7 3" xfId="8896" xr:uid="{198CA503-62A5-46C5-80D3-333ADD49BBB0}"/>
    <cellStyle name="Normal 4 4 2 2 8" xfId="5030" xr:uid="{5E10A326-2710-40C8-86FA-8845AF4E5C99}"/>
    <cellStyle name="Normal 4 4 2 2 8 2" xfId="9309" xr:uid="{DA8A949A-976E-4D17-80F4-B919C40A5F2F}"/>
    <cellStyle name="Normal 4 4 2 2 9" xfId="7244" xr:uid="{2EA86526-A369-463D-B134-7C50AF29673A}"/>
    <cellStyle name="Normal 4 4 2 3" xfId="387" xr:uid="{00000000-0005-0000-0000-0000A5020000}"/>
    <cellStyle name="Normal 4 4 2 3 10" xfId="2114" xr:uid="{6B21153A-7E10-4EE9-83F0-7212C357F6D6}"/>
    <cellStyle name="Normal 4 4 2 3 11" xfId="1285" xr:uid="{ECA1677E-3E17-465D-9B21-4558D3B472EA}"/>
    <cellStyle name="Normal 4 4 2 3 2" xfId="388" xr:uid="{00000000-0005-0000-0000-0000A6020000}"/>
    <cellStyle name="Normal 4 4 2 3 2 10" xfId="1286" xr:uid="{6BB215BE-C5CF-4D97-9468-BBA1396218EB}"/>
    <cellStyle name="Normal 4 4 2 3 2 2" xfId="868" xr:uid="{00000000-0005-0000-0000-0000A7020000}"/>
    <cellStyle name="Normal 4 4 2 3 2 2 2" xfId="5589" xr:uid="{48A0E3D1-058C-414F-A410-6539E2B480E4}"/>
    <cellStyle name="Normal 4 4 2 3 2 2 2 2" xfId="9807" xr:uid="{671BBAA7-EA16-48F9-94B4-ED3EA4161616}"/>
    <cellStyle name="Normal 4 4 2 3 2 2 3" xfId="7662" xr:uid="{9CCBE82A-7BA0-472D-829B-CE547BD04ECC}"/>
    <cellStyle name="Normal 4 4 2 3 2 2 4" xfId="3360" xr:uid="{A9CF5EBA-58E3-4B30-899C-12E97AF3C623}"/>
    <cellStyle name="Normal 4 4 2 3 2 2 5" xfId="2531" xr:uid="{5994AB60-6CAF-498E-9F6C-73F547350FE6}"/>
    <cellStyle name="Normal 4 4 2 3 2 2 6" xfId="1702" xr:uid="{D845D68D-171D-454F-AA99-F9D3A9645E0B}"/>
    <cellStyle name="Normal 4 4 2 3 2 3" xfId="3773" xr:uid="{74341439-1B0D-447A-B69D-32A0C9868A83}"/>
    <cellStyle name="Normal 4 4 2 3 2 3 2" xfId="6002" xr:uid="{24E2219D-1998-448F-B42E-3E8D71F63772}"/>
    <cellStyle name="Normal 4 4 2 3 2 3 2 2" xfId="10220" xr:uid="{EFD99D31-0A95-4FC8-8F0D-2E97C7151AD9}"/>
    <cellStyle name="Normal 4 4 2 3 2 3 3" xfId="8075" xr:uid="{F0C335D9-A631-4C62-8CC7-F1FC60530BBF}"/>
    <cellStyle name="Normal 4 4 2 3 2 4" xfId="4186" xr:uid="{13B91EBA-F509-4F38-8EF0-8309B69BFB2E}"/>
    <cellStyle name="Normal 4 4 2 3 2 4 2" xfId="6415" xr:uid="{28DE4F10-0C6C-4320-9734-56E67E91B86D}"/>
    <cellStyle name="Normal 4 4 2 3 2 4 2 2" xfId="10633" xr:uid="{12B5BC22-12A6-44D9-B683-9488DD910DDA}"/>
    <cellStyle name="Normal 4 4 2 3 2 4 3" xfId="8488" xr:uid="{CE30F582-E698-4B46-8F08-1B259A5CE8FD}"/>
    <cellStyle name="Normal 4 4 2 3 2 5" xfId="4599" xr:uid="{BC83E391-BE5D-4FA5-BCC6-5C3B9E51427F}"/>
    <cellStyle name="Normal 4 4 2 3 2 5 2" xfId="6828" xr:uid="{55E340A1-D64B-44FA-812C-8F79C15FD897}"/>
    <cellStyle name="Normal 4 4 2 3 2 5 2 2" xfId="11046" xr:uid="{6D95D71A-88C8-4359-B649-70953C5B545E}"/>
    <cellStyle name="Normal 4 4 2 3 2 5 3" xfId="8901" xr:uid="{BF8E5C12-ED4F-4294-8600-7DA917A2B9C5}"/>
    <cellStyle name="Normal 4 4 2 3 2 6" xfId="5035" xr:uid="{58D4EF6B-4ABF-470B-8BEB-90129F9F8D18}"/>
    <cellStyle name="Normal 4 4 2 3 2 6 2" xfId="9314" xr:uid="{016EAA91-B53F-40BD-97DD-96057FB6D662}"/>
    <cellStyle name="Normal 4 4 2 3 2 7" xfId="7249" xr:uid="{3EBD8394-F86E-429B-AB36-32BBCD717FF6}"/>
    <cellStyle name="Normal 4 4 2 3 2 8" xfId="2945" xr:uid="{9B36FA5C-053C-4243-A11A-70A332D6173B}"/>
    <cellStyle name="Normal 4 4 2 3 2 9" xfId="2115" xr:uid="{EB7CE985-A662-4529-A62B-09B2ECD8BB5A}"/>
    <cellStyle name="Normal 4 4 2 3 3" xfId="867" xr:uid="{00000000-0005-0000-0000-0000A8020000}"/>
    <cellStyle name="Normal 4 4 2 3 3 2" xfId="5588" xr:uid="{1EF2B056-669B-4F50-B60C-931AFDD28067}"/>
    <cellStyle name="Normal 4 4 2 3 3 2 2" xfId="9806" xr:uid="{D9AFF763-2F03-4CFD-B3F0-66CC1C6D6323}"/>
    <cellStyle name="Normal 4 4 2 3 3 3" xfId="7661" xr:uid="{56334302-859D-4A27-9495-DACB3C9C794E}"/>
    <cellStyle name="Normal 4 4 2 3 3 4" xfId="3359" xr:uid="{FD951BC7-7DDC-4AB1-99E5-227C9B0D24A5}"/>
    <cellStyle name="Normal 4 4 2 3 3 5" xfId="2530" xr:uid="{C2AF1500-58F8-48B7-B8E1-D66F370B3AE7}"/>
    <cellStyle name="Normal 4 4 2 3 3 6" xfId="1701" xr:uid="{D46CBA16-64F6-4E4C-8680-239FF7A2BD00}"/>
    <cellStyle name="Normal 4 4 2 3 4" xfId="3772" xr:uid="{2651A6F1-1407-4E00-94D3-6C4465B8F1FF}"/>
    <cellStyle name="Normal 4 4 2 3 4 2" xfId="6001" xr:uid="{789A5E00-4DEC-47E0-B230-DCCAF41A12EB}"/>
    <cellStyle name="Normal 4 4 2 3 4 2 2" xfId="10219" xr:uid="{72DA2AF6-1459-4FEB-A292-D223E940FD70}"/>
    <cellStyle name="Normal 4 4 2 3 4 3" xfId="8074" xr:uid="{E2C5E426-ACE3-4A50-9D1F-3645D34BED6B}"/>
    <cellStyle name="Normal 4 4 2 3 5" xfId="4185" xr:uid="{E5EFD3E4-8D30-45DE-976A-60CCBC2A8513}"/>
    <cellStyle name="Normal 4 4 2 3 5 2" xfId="6414" xr:uid="{4F3287CC-CB43-47E2-99A1-E88515145760}"/>
    <cellStyle name="Normal 4 4 2 3 5 2 2" xfId="10632" xr:uid="{EDC1974A-1DEE-46E2-BE28-752C31BBB396}"/>
    <cellStyle name="Normal 4 4 2 3 5 3" xfId="8487" xr:uid="{032EA117-592B-4CE8-A5A0-38FC2C8A556C}"/>
    <cellStyle name="Normal 4 4 2 3 6" xfId="4598" xr:uid="{92494673-9DED-4601-9116-075CA2A06BB5}"/>
    <cellStyle name="Normal 4 4 2 3 6 2" xfId="6827" xr:uid="{CED40C4A-2881-4D50-8A38-5FB9055B7D02}"/>
    <cellStyle name="Normal 4 4 2 3 6 2 2" xfId="11045" xr:uid="{F7BCD60D-0F14-4527-AC2C-CBC09FFD2125}"/>
    <cellStyle name="Normal 4 4 2 3 6 3" xfId="8900" xr:uid="{FAAA6FAB-3DA5-4DC4-8E38-0AFBDAF67D98}"/>
    <cellStyle name="Normal 4 4 2 3 7" xfId="5034" xr:uid="{5969717F-EC40-4E16-BC9B-E955B02DEE93}"/>
    <cellStyle name="Normal 4 4 2 3 7 2" xfId="9313" xr:uid="{60B23170-5FEB-42C6-9FAC-CEC56C8942B8}"/>
    <cellStyle name="Normal 4 4 2 3 8" xfId="7248" xr:uid="{168F6FF0-C5F6-4E1F-A41C-D4E0F796E288}"/>
    <cellStyle name="Normal 4 4 2 3 9" xfId="2944" xr:uid="{E74D6FB5-6AC4-4A07-BEE2-6581B98A676A}"/>
    <cellStyle name="Normal 4 4 2 4" xfId="389" xr:uid="{00000000-0005-0000-0000-0000A9020000}"/>
    <cellStyle name="Normal 4 4 2 4 10" xfId="1287" xr:uid="{0F2B53D2-CB3F-474C-B037-5C429541E6F7}"/>
    <cellStyle name="Normal 4 4 2 4 2" xfId="869" xr:uid="{00000000-0005-0000-0000-0000AA020000}"/>
    <cellStyle name="Normal 4 4 2 4 2 2" xfId="5590" xr:uid="{C349F60D-0E9A-4E5F-9B6D-53754E6951F9}"/>
    <cellStyle name="Normal 4 4 2 4 2 2 2" xfId="9808" xr:uid="{D34F1CFA-B95C-40AD-9A95-3EC990B3506B}"/>
    <cellStyle name="Normal 4 4 2 4 2 3" xfId="7663" xr:uid="{914F39CF-D123-4D0B-8C7D-0ABAF88B9B7E}"/>
    <cellStyle name="Normal 4 4 2 4 2 4" xfId="3361" xr:uid="{7C6D6382-B85D-4B36-81CF-378E23C01515}"/>
    <cellStyle name="Normal 4 4 2 4 2 5" xfId="2532" xr:uid="{01648133-4307-49C3-A4C1-AED56F4AB23F}"/>
    <cellStyle name="Normal 4 4 2 4 2 6" xfId="1703" xr:uid="{D94361A0-47E7-4480-B77A-02E20080F43A}"/>
    <cellStyle name="Normal 4 4 2 4 3" xfId="3774" xr:uid="{29933B80-A773-463A-9FE1-643821118CE2}"/>
    <cellStyle name="Normal 4 4 2 4 3 2" xfId="6003" xr:uid="{75D6899F-A993-4E5C-940E-56F34CB0B57C}"/>
    <cellStyle name="Normal 4 4 2 4 3 2 2" xfId="10221" xr:uid="{8D7C9B5A-E13E-4CD4-B3C0-61FD9959129B}"/>
    <cellStyle name="Normal 4 4 2 4 3 3" xfId="8076" xr:uid="{B1788A7B-8E89-41F2-86FA-12EA5D509BC4}"/>
    <cellStyle name="Normal 4 4 2 4 4" xfId="4187" xr:uid="{9FCD41DF-27A7-4720-A89D-5905728F2F04}"/>
    <cellStyle name="Normal 4 4 2 4 4 2" xfId="6416" xr:uid="{8DAE7ADC-3386-4FEC-AD32-9D174814622B}"/>
    <cellStyle name="Normal 4 4 2 4 4 2 2" xfId="10634" xr:uid="{7D17D44F-0E76-4303-87EB-B5C703192277}"/>
    <cellStyle name="Normal 4 4 2 4 4 3" xfId="8489" xr:uid="{2B0380C8-2E31-4D0B-9EF3-649FF10A9F4B}"/>
    <cellStyle name="Normal 4 4 2 4 5" xfId="4600" xr:uid="{AE6C2CED-117F-475D-8858-A3632CA7BBD0}"/>
    <cellStyle name="Normal 4 4 2 4 5 2" xfId="6829" xr:uid="{E7183C8D-DCC9-4F01-A8DC-AC2ADF776912}"/>
    <cellStyle name="Normal 4 4 2 4 5 2 2" xfId="11047" xr:uid="{70ACB53E-7F03-4601-B8B4-953F2E6E83A8}"/>
    <cellStyle name="Normal 4 4 2 4 5 3" xfId="8902" xr:uid="{07D4390C-984B-40B2-8BC1-EFDFD08E0A8D}"/>
    <cellStyle name="Normal 4 4 2 4 6" xfId="5036" xr:uid="{A53A4006-4ABD-4A4E-AB8C-2C4668B7DBD2}"/>
    <cellStyle name="Normal 4 4 2 4 6 2" xfId="9315" xr:uid="{E5F65868-B25D-4EE2-A67A-9591035E9FC0}"/>
    <cellStyle name="Normal 4 4 2 4 7" xfId="7250" xr:uid="{9CD8ECFE-5A37-47E0-B8B2-272ECDE0FFB6}"/>
    <cellStyle name="Normal 4 4 2 4 8" xfId="2946" xr:uid="{E7B6C1D8-A3C1-463B-8E67-9D13ED7EE777}"/>
    <cellStyle name="Normal 4 4 2 4 9" xfId="2116" xr:uid="{0BF29141-030E-47AD-BF9B-611B789C5BA5}"/>
    <cellStyle name="Normal 4 4 2 5" xfId="862" xr:uid="{00000000-0005-0000-0000-0000AB020000}"/>
    <cellStyle name="Normal 4 4 2 5 2" xfId="5583" xr:uid="{BA5207AA-547E-4CDD-A172-E33C22B9DD4E}"/>
    <cellStyle name="Normal 4 4 2 5 2 2" xfId="9801" xr:uid="{435AADDF-43CA-45DB-B8FA-7E6AD8AD2243}"/>
    <cellStyle name="Normal 4 4 2 5 3" xfId="7656" xr:uid="{80313F18-8B69-4058-98E2-0AFF7446642B}"/>
    <cellStyle name="Normal 4 4 2 5 4" xfId="3354" xr:uid="{4EC6D422-8F83-4900-BB3D-5EE8A8608232}"/>
    <cellStyle name="Normal 4 4 2 5 5" xfId="2525" xr:uid="{FF896E34-B51B-46A1-B9BD-A3B4DE597801}"/>
    <cellStyle name="Normal 4 4 2 5 6" xfId="1696" xr:uid="{C552D905-E443-464F-AE0E-B168F607C649}"/>
    <cellStyle name="Normal 4 4 2 6" xfId="3767" xr:uid="{E688DFDF-C887-42F3-B442-6CCA09F471DF}"/>
    <cellStyle name="Normal 4 4 2 6 2" xfId="5996" xr:uid="{81357219-2B91-40F7-9C39-D7E613B8D577}"/>
    <cellStyle name="Normal 4 4 2 6 2 2" xfId="10214" xr:uid="{8CDA287E-8547-4160-8F85-A97778BCCC77}"/>
    <cellStyle name="Normal 4 4 2 6 3" xfId="8069" xr:uid="{B72B7E2A-B20C-4047-A384-789CDB97591A}"/>
    <cellStyle name="Normal 4 4 2 7" xfId="4180" xr:uid="{C76DEF00-5748-491E-8F31-47805C7DA456}"/>
    <cellStyle name="Normal 4 4 2 7 2" xfId="6409" xr:uid="{343EF390-E8E6-4A4F-80BD-CAE4DE90F6EA}"/>
    <cellStyle name="Normal 4 4 2 7 2 2" xfId="10627" xr:uid="{4716505B-70FD-4DC6-ADC1-357CF877F74A}"/>
    <cellStyle name="Normal 4 4 2 7 3" xfId="8482" xr:uid="{8AD9F991-66C7-4146-A17C-4905361A2D27}"/>
    <cellStyle name="Normal 4 4 2 8" xfId="4593" xr:uid="{6843F6E5-55CC-480E-AAEA-6FD66502D2B7}"/>
    <cellStyle name="Normal 4 4 2 8 2" xfId="6822" xr:uid="{F0D184AD-7FA2-45B7-BEFB-E6DA5B75A8CA}"/>
    <cellStyle name="Normal 4 4 2 8 2 2" xfId="11040" xr:uid="{CE5E124E-C443-4D36-9D0A-29F36DEB8E78}"/>
    <cellStyle name="Normal 4 4 2 8 3" xfId="8895" xr:uid="{0E86F6CF-701D-4DE7-8AB2-90082BB0F4F9}"/>
    <cellStyle name="Normal 4 4 2 9" xfId="5029" xr:uid="{D7594F23-FF2E-4941-82F0-8E570DFF02B5}"/>
    <cellStyle name="Normal 4 4 2 9 2" xfId="9308" xr:uid="{B8C89A24-99B9-417B-850F-4C304F671947}"/>
    <cellStyle name="Normal 4 4 3" xfId="390" xr:uid="{00000000-0005-0000-0000-0000AC020000}"/>
    <cellStyle name="Normal 4 4 3 10" xfId="2947" xr:uid="{CCA59EC8-1E17-4723-A64B-913896C6AE88}"/>
    <cellStyle name="Normal 4 4 3 11" xfId="2117" xr:uid="{9C17161D-E3F0-4163-80C3-A6850AA991C4}"/>
    <cellStyle name="Normal 4 4 3 12" xfId="1288" xr:uid="{5A2D41F0-6CBE-4765-B357-95AAAB29BAB3}"/>
    <cellStyle name="Normal 4 4 3 2" xfId="391" xr:uid="{00000000-0005-0000-0000-0000AD020000}"/>
    <cellStyle name="Normal 4 4 3 2 10" xfId="2118" xr:uid="{72BE3217-7E23-4E25-AF08-D9071EEE7F99}"/>
    <cellStyle name="Normal 4 4 3 2 11" xfId="1289" xr:uid="{901EA80E-26B4-4062-B5C8-6F9E68E02452}"/>
    <cellStyle name="Normal 4 4 3 2 2" xfId="392" xr:uid="{00000000-0005-0000-0000-0000AE020000}"/>
    <cellStyle name="Normal 4 4 3 2 2 10" xfId="1290" xr:uid="{54B43021-8A81-46A4-9B6E-5F9D2E218FD9}"/>
    <cellStyle name="Normal 4 4 3 2 2 2" xfId="872" xr:uid="{00000000-0005-0000-0000-0000AF020000}"/>
    <cellStyle name="Normal 4 4 3 2 2 2 2" xfId="5593" xr:uid="{BDAF7838-C8ED-466C-92D7-EAEBCD7D5AB7}"/>
    <cellStyle name="Normal 4 4 3 2 2 2 2 2" xfId="9811" xr:uid="{51C47740-7B80-48AB-AB18-EE0E9F159D6C}"/>
    <cellStyle name="Normal 4 4 3 2 2 2 3" xfId="7666" xr:uid="{DD4343AF-8860-455A-B889-87285AD95F86}"/>
    <cellStyle name="Normal 4 4 3 2 2 2 4" xfId="3364" xr:uid="{D486D5F5-07A7-458A-815C-09A21D6AC9FD}"/>
    <cellStyle name="Normal 4 4 3 2 2 2 5" xfId="2535" xr:uid="{F22EDF18-C250-4FCD-8936-2B2318ADE367}"/>
    <cellStyle name="Normal 4 4 3 2 2 2 6" xfId="1706" xr:uid="{025A3A7D-3A18-4804-80F2-2614264144B5}"/>
    <cellStyle name="Normal 4 4 3 2 2 3" xfId="3777" xr:uid="{5D744009-FBA1-43C5-9367-75CD803FD6E4}"/>
    <cellStyle name="Normal 4 4 3 2 2 3 2" xfId="6006" xr:uid="{3540F1FE-4606-49A3-897A-D7A5B512CB97}"/>
    <cellStyle name="Normal 4 4 3 2 2 3 2 2" xfId="10224" xr:uid="{A30F7E08-4ADF-49B8-A900-40CC8ACC0AD6}"/>
    <cellStyle name="Normal 4 4 3 2 2 3 3" xfId="8079" xr:uid="{75148EF7-35BC-44A7-BC24-1CCF9C4CC718}"/>
    <cellStyle name="Normal 4 4 3 2 2 4" xfId="4190" xr:uid="{4263306D-01D8-4B10-919A-4C6129EC1FFD}"/>
    <cellStyle name="Normal 4 4 3 2 2 4 2" xfId="6419" xr:uid="{F4185302-5D5E-4BA4-9BA7-DC981C3F7B3A}"/>
    <cellStyle name="Normal 4 4 3 2 2 4 2 2" xfId="10637" xr:uid="{09F7BA5B-E257-4422-BFBF-EE7977A24842}"/>
    <cellStyle name="Normal 4 4 3 2 2 4 3" xfId="8492" xr:uid="{9761B872-8DE4-48C5-B260-47273C4E27B4}"/>
    <cellStyle name="Normal 4 4 3 2 2 5" xfId="4603" xr:uid="{498CB6A7-79F2-47FE-80CA-AB3AE3988B7D}"/>
    <cellStyle name="Normal 4 4 3 2 2 5 2" xfId="6832" xr:uid="{8D1FDA06-D822-4DFA-802C-9269A343066F}"/>
    <cellStyle name="Normal 4 4 3 2 2 5 2 2" xfId="11050" xr:uid="{1D52FDAC-99A8-44FE-B2B5-851865365C7D}"/>
    <cellStyle name="Normal 4 4 3 2 2 5 3" xfId="8905" xr:uid="{AA7D9740-C6A6-40DF-BB5B-253432788065}"/>
    <cellStyle name="Normal 4 4 3 2 2 6" xfId="5039" xr:uid="{8C18BEB4-629C-4332-8B24-208DD7E2F18C}"/>
    <cellStyle name="Normal 4 4 3 2 2 6 2" xfId="9318" xr:uid="{36A0C04D-9F29-4D5A-9A50-DF14355FC8D4}"/>
    <cellStyle name="Normal 4 4 3 2 2 7" xfId="7253" xr:uid="{46582716-DFDE-4745-A1DA-960B16B5E013}"/>
    <cellStyle name="Normal 4 4 3 2 2 8" xfId="2949" xr:uid="{95B7EFD4-278B-4F5E-8CDC-49503C9E255D}"/>
    <cellStyle name="Normal 4 4 3 2 2 9" xfId="2119" xr:uid="{1CB88300-DBC9-4163-B9CE-9EF7D00AD0FE}"/>
    <cellStyle name="Normal 4 4 3 2 3" xfId="871" xr:uid="{00000000-0005-0000-0000-0000B0020000}"/>
    <cellStyle name="Normal 4 4 3 2 3 2" xfId="5592" xr:uid="{D5B58CDF-3B3B-4E1F-8111-0CACD37FF0D4}"/>
    <cellStyle name="Normal 4 4 3 2 3 2 2" xfId="9810" xr:uid="{7B2380CB-39B5-4421-A431-E9A0F8DCBA45}"/>
    <cellStyle name="Normal 4 4 3 2 3 3" xfId="7665" xr:uid="{6B9DE843-E800-4B82-9388-B55FB1188F7B}"/>
    <cellStyle name="Normal 4 4 3 2 3 4" xfId="3363" xr:uid="{774661EA-F844-40FF-8F6F-DED41B377556}"/>
    <cellStyle name="Normal 4 4 3 2 3 5" xfId="2534" xr:uid="{E12E72CA-EF3A-4D14-B2B2-AEA102EDEA8F}"/>
    <cellStyle name="Normal 4 4 3 2 3 6" xfId="1705" xr:uid="{2FEF2B29-6A45-4ED7-ADA1-A3EB34AAFC95}"/>
    <cellStyle name="Normal 4 4 3 2 4" xfId="3776" xr:uid="{DC06FF3A-F581-4DC5-ADB8-334E5B5BB41F}"/>
    <cellStyle name="Normal 4 4 3 2 4 2" xfId="6005" xr:uid="{4C6ED8B5-A910-4EBE-8F2C-279CDACB8603}"/>
    <cellStyle name="Normal 4 4 3 2 4 2 2" xfId="10223" xr:uid="{E551C722-D5A4-4905-B3E6-100C0F0E52B8}"/>
    <cellStyle name="Normal 4 4 3 2 4 3" xfId="8078" xr:uid="{4AE842F9-657A-424C-877F-939D05FEECC3}"/>
    <cellStyle name="Normal 4 4 3 2 5" xfId="4189" xr:uid="{EBF98F70-4BED-4F15-9C35-FBA9E7B4DA2A}"/>
    <cellStyle name="Normal 4 4 3 2 5 2" xfId="6418" xr:uid="{5779C2C3-768D-4106-8646-E4A75C29DE16}"/>
    <cellStyle name="Normal 4 4 3 2 5 2 2" xfId="10636" xr:uid="{CB3D1E71-37C5-4600-9CE6-A611B8037A59}"/>
    <cellStyle name="Normal 4 4 3 2 5 3" xfId="8491" xr:uid="{EBE8131C-CF1E-4C0B-8B23-145A3E976A23}"/>
    <cellStyle name="Normal 4 4 3 2 6" xfId="4602" xr:uid="{9753E5EC-8B2C-4596-BC0F-52AA2D392F5E}"/>
    <cellStyle name="Normal 4 4 3 2 6 2" xfId="6831" xr:uid="{AA6AE26F-505E-445D-BBA4-142ED008A22B}"/>
    <cellStyle name="Normal 4 4 3 2 6 2 2" xfId="11049" xr:uid="{C493752F-03F6-4CA6-814F-AEAB62BC70B7}"/>
    <cellStyle name="Normal 4 4 3 2 6 3" xfId="8904" xr:uid="{1F7B8940-5BA5-4563-AE59-5056B26E4C28}"/>
    <cellStyle name="Normal 4 4 3 2 7" xfId="5038" xr:uid="{76139AC1-3882-428E-8CC5-6C77F353155B}"/>
    <cellStyle name="Normal 4 4 3 2 7 2" xfId="9317" xr:uid="{A8FA102B-4CED-418D-80D3-88CA08B8D59C}"/>
    <cellStyle name="Normal 4 4 3 2 8" xfId="7252" xr:uid="{36B7877D-AA76-4841-B71B-AA4F6A8B2B1B}"/>
    <cellStyle name="Normal 4 4 3 2 9" xfId="2948" xr:uid="{3958B6EF-910E-4BF5-9F97-C1CC3201F07E}"/>
    <cellStyle name="Normal 4 4 3 3" xfId="393" xr:uid="{00000000-0005-0000-0000-0000B1020000}"/>
    <cellStyle name="Normal 4 4 3 3 10" xfId="1291" xr:uid="{42CF582D-77D9-4967-96C2-C659AD245F8E}"/>
    <cellStyle name="Normal 4 4 3 3 2" xfId="873" xr:uid="{00000000-0005-0000-0000-0000B2020000}"/>
    <cellStyle name="Normal 4 4 3 3 2 2" xfId="5594" xr:uid="{C08FC579-F02D-40A0-8089-98B753AF97E1}"/>
    <cellStyle name="Normal 4 4 3 3 2 2 2" xfId="9812" xr:uid="{35A10BA9-6167-438D-B9A8-845F22E21555}"/>
    <cellStyle name="Normal 4 4 3 3 2 3" xfId="7667" xr:uid="{30DFAD85-A0E0-41BB-93D8-3B7E7B595802}"/>
    <cellStyle name="Normal 4 4 3 3 2 4" xfId="3365" xr:uid="{27DB89B4-F7EB-4A00-ABB6-D6A6C8733AAB}"/>
    <cellStyle name="Normal 4 4 3 3 2 5" xfId="2536" xr:uid="{EED5319C-1581-42B0-8F07-A0D30449FFAD}"/>
    <cellStyle name="Normal 4 4 3 3 2 6" xfId="1707" xr:uid="{4E4A9A6C-3AE4-4DA2-9F20-E27EE108E9B9}"/>
    <cellStyle name="Normal 4 4 3 3 3" xfId="3778" xr:uid="{919D11EB-0674-4D35-BE26-BE5A50CA1DEE}"/>
    <cellStyle name="Normal 4 4 3 3 3 2" xfId="6007" xr:uid="{D3AF5A65-1401-4564-B1AC-191ED1688B14}"/>
    <cellStyle name="Normal 4 4 3 3 3 2 2" xfId="10225" xr:uid="{7E09D1D0-83E1-4033-89A6-DB05DD2AF94D}"/>
    <cellStyle name="Normal 4 4 3 3 3 3" xfId="8080" xr:uid="{7D914404-8075-47B8-A2A9-3259721653C4}"/>
    <cellStyle name="Normal 4 4 3 3 4" xfId="4191" xr:uid="{42D92286-8AD4-43C6-9129-274705711A19}"/>
    <cellStyle name="Normal 4 4 3 3 4 2" xfId="6420" xr:uid="{52B25E14-A818-45E3-863B-F0D712D04FA4}"/>
    <cellStyle name="Normal 4 4 3 3 4 2 2" xfId="10638" xr:uid="{FE3E7717-A235-466E-8412-90C8AE37CB37}"/>
    <cellStyle name="Normal 4 4 3 3 4 3" xfId="8493" xr:uid="{2A947832-4665-4F06-9E87-7F45338E3BDE}"/>
    <cellStyle name="Normal 4 4 3 3 5" xfId="4604" xr:uid="{85454F1C-0278-4AF1-9017-2768FFA58E09}"/>
    <cellStyle name="Normal 4 4 3 3 5 2" xfId="6833" xr:uid="{20E6A2B2-D6B6-46BB-85D1-DFD1E4B610B4}"/>
    <cellStyle name="Normal 4 4 3 3 5 2 2" xfId="11051" xr:uid="{3520DDEA-A004-4DBD-84DF-B5B26F720B25}"/>
    <cellStyle name="Normal 4 4 3 3 5 3" xfId="8906" xr:uid="{1E7E94DD-EEE1-47B1-BF61-9D5A38BC7595}"/>
    <cellStyle name="Normal 4 4 3 3 6" xfId="5040" xr:uid="{92DDA4BE-4AB0-40A9-A1F8-81151AC2E2C3}"/>
    <cellStyle name="Normal 4 4 3 3 6 2" xfId="9319" xr:uid="{95590FB8-A561-41A1-A6ED-CC4026D34DAD}"/>
    <cellStyle name="Normal 4 4 3 3 7" xfId="7254" xr:uid="{55AB1416-3D40-411C-8764-1BB60ECC2733}"/>
    <cellStyle name="Normal 4 4 3 3 8" xfId="2950" xr:uid="{6C0B62BA-6DDF-4FE2-9C92-C52CCC3FB140}"/>
    <cellStyle name="Normal 4 4 3 3 9" xfId="2120" xr:uid="{582A7A57-DCE2-4026-B170-ED9D7B549CBE}"/>
    <cellStyle name="Normal 4 4 3 4" xfId="870" xr:uid="{00000000-0005-0000-0000-0000B3020000}"/>
    <cellStyle name="Normal 4 4 3 4 2" xfId="5591" xr:uid="{17043B2E-9A2F-4E4E-80EF-F3198EBF3CD0}"/>
    <cellStyle name="Normal 4 4 3 4 2 2" xfId="9809" xr:uid="{FA60250A-BD42-44A9-9651-920F2245FE83}"/>
    <cellStyle name="Normal 4 4 3 4 3" xfId="7664" xr:uid="{02CD032F-FBA4-4065-AD5D-827AE59E2A7B}"/>
    <cellStyle name="Normal 4 4 3 4 4" xfId="3362" xr:uid="{7DE5CF00-E183-46BA-B6EB-6D9B8AF64E77}"/>
    <cellStyle name="Normal 4 4 3 4 5" xfId="2533" xr:uid="{BA187DB4-2138-4155-9EEE-C8759E2D911D}"/>
    <cellStyle name="Normal 4 4 3 4 6" xfId="1704" xr:uid="{0A4AA968-B43B-4716-923B-CEFAC002F038}"/>
    <cellStyle name="Normal 4 4 3 5" xfId="3775" xr:uid="{37CC88EE-6DC5-45AF-A615-C4F2437550CB}"/>
    <cellStyle name="Normal 4 4 3 5 2" xfId="6004" xr:uid="{1E8723F6-46CA-4662-9FC5-F5AFB46F25FE}"/>
    <cellStyle name="Normal 4 4 3 5 2 2" xfId="10222" xr:uid="{2A19C820-9AF1-4DE7-9E93-397C0F085769}"/>
    <cellStyle name="Normal 4 4 3 5 3" xfId="8077" xr:uid="{2198C724-ECCD-43E4-AB70-5B847C261F0A}"/>
    <cellStyle name="Normal 4 4 3 6" xfId="4188" xr:uid="{40E31192-3F50-4CC6-B087-682BFFC00EA4}"/>
    <cellStyle name="Normal 4 4 3 6 2" xfId="6417" xr:uid="{42D5DE83-AA64-45F4-BCD5-FC69646418AA}"/>
    <cellStyle name="Normal 4 4 3 6 2 2" xfId="10635" xr:uid="{87F0710B-F637-4898-B3DA-C544288880EE}"/>
    <cellStyle name="Normal 4 4 3 6 3" xfId="8490" xr:uid="{393226FD-F0BE-4BB9-869C-DA8364871B13}"/>
    <cellStyle name="Normal 4 4 3 7" xfId="4601" xr:uid="{F49326CC-16F6-450F-9A27-8D13BD6BB38B}"/>
    <cellStyle name="Normal 4 4 3 7 2" xfId="6830" xr:uid="{5B1025A5-2277-4A4C-803B-E4D99DA0550A}"/>
    <cellStyle name="Normal 4 4 3 7 2 2" xfId="11048" xr:uid="{725B416E-3F78-41A1-B8FC-1A4D543349AC}"/>
    <cellStyle name="Normal 4 4 3 7 3" xfId="8903" xr:uid="{304AE3F3-EF33-4DBF-BA1F-FC18F94C8E07}"/>
    <cellStyle name="Normal 4 4 3 8" xfId="5037" xr:uid="{BA234CDB-72A0-4057-B926-B162B620E383}"/>
    <cellStyle name="Normal 4 4 3 8 2" xfId="9316" xr:uid="{AF388728-B5C5-4E61-8966-EC4ACCED1FFD}"/>
    <cellStyle name="Normal 4 4 3 9" xfId="7251" xr:uid="{E5F9FD0F-FEB6-4106-8A31-AD6A99DAE14B}"/>
    <cellStyle name="Normal 4 4 4" xfId="394" xr:uid="{00000000-0005-0000-0000-0000B4020000}"/>
    <cellStyle name="Normal 4 4 4 10" xfId="2121" xr:uid="{00C48BE4-1744-41CF-9078-9FCCFC4A4809}"/>
    <cellStyle name="Normal 4 4 4 11" xfId="1292" xr:uid="{051C2990-E5E0-4D53-B57D-5D251956EAFA}"/>
    <cellStyle name="Normal 4 4 4 2" xfId="395" xr:uid="{00000000-0005-0000-0000-0000B5020000}"/>
    <cellStyle name="Normal 4 4 4 2 10" xfId="1293" xr:uid="{9D89051C-AAF8-4B68-89BD-EEB4A62297C7}"/>
    <cellStyle name="Normal 4 4 4 2 2" xfId="875" xr:uid="{00000000-0005-0000-0000-0000B6020000}"/>
    <cellStyle name="Normal 4 4 4 2 2 2" xfId="5596" xr:uid="{D578A6B2-D2A0-4B0C-BFE6-578618E43BEF}"/>
    <cellStyle name="Normal 4 4 4 2 2 2 2" xfId="9814" xr:uid="{6C38C942-2B2F-413E-8450-B89BAE1339F9}"/>
    <cellStyle name="Normal 4 4 4 2 2 3" xfId="7669" xr:uid="{1E9A500A-687C-446B-9748-105268ABC028}"/>
    <cellStyle name="Normal 4 4 4 2 2 4" xfId="3367" xr:uid="{0D2F7B22-5947-42F3-AC07-EEDC6F95D4BA}"/>
    <cellStyle name="Normal 4 4 4 2 2 5" xfId="2538" xr:uid="{07270B2C-608A-4BE8-BADB-BD1E39D06457}"/>
    <cellStyle name="Normal 4 4 4 2 2 6" xfId="1709" xr:uid="{75E2ED9B-75A2-4B96-975C-608CB65F7CB1}"/>
    <cellStyle name="Normal 4 4 4 2 3" xfId="3780" xr:uid="{7BBC6BD8-2382-4CE6-9A1E-EC5853B035C0}"/>
    <cellStyle name="Normal 4 4 4 2 3 2" xfId="6009" xr:uid="{59100867-F72D-46B8-A5AC-0375301C6CB9}"/>
    <cellStyle name="Normal 4 4 4 2 3 2 2" xfId="10227" xr:uid="{E05252D7-88D9-479F-9EC0-307EB826697A}"/>
    <cellStyle name="Normal 4 4 4 2 3 3" xfId="8082" xr:uid="{45F91922-9B8E-4E05-ACFE-E48D0F1FAA80}"/>
    <cellStyle name="Normal 4 4 4 2 4" xfId="4193" xr:uid="{1D361ED0-567A-47AA-AB70-87A1D22AB4C4}"/>
    <cellStyle name="Normal 4 4 4 2 4 2" xfId="6422" xr:uid="{E2F8996F-3DC6-49E0-A439-6A501EDDC6C9}"/>
    <cellStyle name="Normal 4 4 4 2 4 2 2" xfId="10640" xr:uid="{F3AC0BA7-8125-41B4-877A-514DB19E7D6B}"/>
    <cellStyle name="Normal 4 4 4 2 4 3" xfId="8495" xr:uid="{A831298E-02EE-4674-82BA-6A9925438B8C}"/>
    <cellStyle name="Normal 4 4 4 2 5" xfId="4606" xr:uid="{B58261CC-9009-4596-AB82-0ED476FC1C0F}"/>
    <cellStyle name="Normal 4 4 4 2 5 2" xfId="6835" xr:uid="{157D365F-E927-4BBF-999D-652EE67DA85A}"/>
    <cellStyle name="Normal 4 4 4 2 5 2 2" xfId="11053" xr:uid="{12060692-7E8B-4CC5-AFB6-C68FFCB478FE}"/>
    <cellStyle name="Normal 4 4 4 2 5 3" xfId="8908" xr:uid="{876BD2CF-6402-4557-92EA-E0C13F39D614}"/>
    <cellStyle name="Normal 4 4 4 2 6" xfId="5042" xr:uid="{E11349BC-004F-47DA-8BE8-FBB1FF421C68}"/>
    <cellStyle name="Normal 4 4 4 2 6 2" xfId="9321" xr:uid="{BF2CAC69-0C0B-40CF-AC56-346FC2B55669}"/>
    <cellStyle name="Normal 4 4 4 2 7" xfId="7256" xr:uid="{750F6791-A860-44C7-985C-91AF8C59DB9A}"/>
    <cellStyle name="Normal 4 4 4 2 8" xfId="2952" xr:uid="{4E958717-A7A4-4A71-B775-798943DD33C5}"/>
    <cellStyle name="Normal 4 4 4 2 9" xfId="2122" xr:uid="{7C708374-9771-4AC4-8A91-19FF0055AE6C}"/>
    <cellStyle name="Normal 4 4 4 3" xfId="874" xr:uid="{00000000-0005-0000-0000-0000B7020000}"/>
    <cellStyle name="Normal 4 4 4 3 2" xfId="5595" xr:uid="{2F695A19-99DA-4934-B9CF-E0FE1BBD9BE9}"/>
    <cellStyle name="Normal 4 4 4 3 2 2" xfId="9813" xr:uid="{BF1C41DE-13F1-4B00-BF10-61447D85021E}"/>
    <cellStyle name="Normal 4 4 4 3 3" xfId="7668" xr:uid="{BA5A1F33-E92B-4C1F-A016-8B2ACC0A135C}"/>
    <cellStyle name="Normal 4 4 4 3 4" xfId="3366" xr:uid="{C605E78A-97D2-42E0-8680-19DDE95BDB96}"/>
    <cellStyle name="Normal 4 4 4 3 5" xfId="2537" xr:uid="{68B1FF64-FFDA-45E4-A924-9BC80DC82511}"/>
    <cellStyle name="Normal 4 4 4 3 6" xfId="1708" xr:uid="{C183EBB3-DDB9-4094-BEA7-26E49DCA1495}"/>
    <cellStyle name="Normal 4 4 4 4" xfId="3779" xr:uid="{4B9B66E1-36FC-4B9A-9D41-E93751CAD146}"/>
    <cellStyle name="Normal 4 4 4 4 2" xfId="6008" xr:uid="{FB9045E1-18D6-49FF-8CB8-3DD0A0B90A99}"/>
    <cellStyle name="Normal 4 4 4 4 2 2" xfId="10226" xr:uid="{FE3E123A-D7E6-4F70-B28F-43BB89E0F127}"/>
    <cellStyle name="Normal 4 4 4 4 3" xfId="8081" xr:uid="{A305EC18-6FC9-48F4-A1AF-2DA21F5D35D1}"/>
    <cellStyle name="Normal 4 4 4 5" xfId="4192" xr:uid="{C70529DF-8E48-4521-B1C0-D217380F53F1}"/>
    <cellStyle name="Normal 4 4 4 5 2" xfId="6421" xr:uid="{BD067EA1-BA4D-4655-BB29-3A542A4FD2B9}"/>
    <cellStyle name="Normal 4 4 4 5 2 2" xfId="10639" xr:uid="{7DA96A3C-73F4-4695-9CC3-4E1C17EAD1AA}"/>
    <cellStyle name="Normal 4 4 4 5 3" xfId="8494" xr:uid="{0E3CD42D-99BA-4A0C-B68E-2D63ECF5FDD0}"/>
    <cellStyle name="Normal 4 4 4 6" xfId="4605" xr:uid="{74B02546-06C8-4303-AF65-DE69A32BF531}"/>
    <cellStyle name="Normal 4 4 4 6 2" xfId="6834" xr:uid="{82777F9B-261F-464E-99DD-6276155E8F97}"/>
    <cellStyle name="Normal 4 4 4 6 2 2" xfId="11052" xr:uid="{A6713363-C914-4CD2-B502-F35AED45C195}"/>
    <cellStyle name="Normal 4 4 4 6 3" xfId="8907" xr:uid="{03954D5F-C99D-41D7-90DE-2CCE01E4674D}"/>
    <cellStyle name="Normal 4 4 4 7" xfId="5041" xr:uid="{AEAC4916-FE2F-48AE-97E7-AC4971DA7E34}"/>
    <cellStyle name="Normal 4 4 4 7 2" xfId="9320" xr:uid="{E85872C5-C8E1-4E7A-9058-E7B5760BF235}"/>
    <cellStyle name="Normal 4 4 4 8" xfId="7255" xr:uid="{559BBF7B-3340-4182-9CF2-401C8512800D}"/>
    <cellStyle name="Normal 4 4 4 9" xfId="2951" xr:uid="{20F9BD00-7715-43ED-8A1E-82D3681EDDA4}"/>
    <cellStyle name="Normal 4 4 5" xfId="396" xr:uid="{00000000-0005-0000-0000-0000B8020000}"/>
    <cellStyle name="Normal 4 4 5 10" xfId="1294" xr:uid="{C654E00B-E1D1-495C-A036-7815F535C896}"/>
    <cellStyle name="Normal 4 4 5 2" xfId="876" xr:uid="{00000000-0005-0000-0000-0000B9020000}"/>
    <cellStyle name="Normal 4 4 5 2 2" xfId="5597" xr:uid="{BDE8673D-86C3-476A-B234-2200E963B94D}"/>
    <cellStyle name="Normal 4 4 5 2 2 2" xfId="9815" xr:uid="{254D9D5E-007E-4F31-8FB2-E9BB87E7B525}"/>
    <cellStyle name="Normal 4 4 5 2 3" xfId="7670" xr:uid="{C390BCF7-54E1-4E4E-9AB7-775576A66056}"/>
    <cellStyle name="Normal 4 4 5 2 4" xfId="3368" xr:uid="{2FF5822C-CAB1-431D-A51E-D24A75F13601}"/>
    <cellStyle name="Normal 4 4 5 2 5" xfId="2539" xr:uid="{00302B15-ED1F-46AB-A737-A3A337A6129F}"/>
    <cellStyle name="Normal 4 4 5 2 6" xfId="1710" xr:uid="{E6CC2B1E-C4FB-4344-97DD-D44534CF079A}"/>
    <cellStyle name="Normal 4 4 5 3" xfId="3781" xr:uid="{498008F9-E67F-4ED1-ACE7-404256DBD16E}"/>
    <cellStyle name="Normal 4 4 5 3 2" xfId="6010" xr:uid="{74CFE3F3-3B04-4A8C-8699-D47B5D4D647B}"/>
    <cellStyle name="Normal 4 4 5 3 2 2" xfId="10228" xr:uid="{13AE4BD8-09E4-430D-B892-8D37ED22A92C}"/>
    <cellStyle name="Normal 4 4 5 3 3" xfId="8083" xr:uid="{5CD0D68A-F1A2-4A4E-B709-0373FD9C086C}"/>
    <cellStyle name="Normal 4 4 5 4" xfId="4194" xr:uid="{4CAB6CFD-D761-4495-9768-FEABA46442F1}"/>
    <cellStyle name="Normal 4 4 5 4 2" xfId="6423" xr:uid="{76DC6047-EE53-4060-9E69-048BD558D8D9}"/>
    <cellStyle name="Normal 4 4 5 4 2 2" xfId="10641" xr:uid="{93FA7CB8-7057-4260-9675-E411FDACA6ED}"/>
    <cellStyle name="Normal 4 4 5 4 3" xfId="8496" xr:uid="{0400AF58-3D5D-438C-88EE-26A759D5B642}"/>
    <cellStyle name="Normal 4 4 5 5" xfId="4607" xr:uid="{7E056E39-B6DB-403D-AE23-8F02759709E9}"/>
    <cellStyle name="Normal 4 4 5 5 2" xfId="6836" xr:uid="{AB5E48E0-FF14-4BB1-994F-D1ABDD567B6C}"/>
    <cellStyle name="Normal 4 4 5 5 2 2" xfId="11054" xr:uid="{3B8676F9-BAF7-4771-AC11-578B46CB2334}"/>
    <cellStyle name="Normal 4 4 5 5 3" xfId="8909" xr:uid="{37CE1F10-BE3A-4251-8BEF-02622233C602}"/>
    <cellStyle name="Normal 4 4 5 6" xfId="5043" xr:uid="{81E2940F-90E1-4DFC-B824-7AF1E5B3D52D}"/>
    <cellStyle name="Normal 4 4 5 6 2" xfId="9322" xr:uid="{2C193BB5-E7F4-4D7A-A2C1-4B62CCA7614B}"/>
    <cellStyle name="Normal 4 4 5 7" xfId="7257" xr:uid="{A6102848-6B4B-45FC-994A-7CEEA5F96F31}"/>
    <cellStyle name="Normal 4 4 5 8" xfId="2953" xr:uid="{37107B42-4E1A-43AC-BAF5-582454652B2F}"/>
    <cellStyle name="Normal 4 4 5 9" xfId="2123" xr:uid="{BFA4574A-767E-4E35-AFD2-0C481BC55D10}"/>
    <cellStyle name="Normal 4 4 6" xfId="861" xr:uid="{00000000-0005-0000-0000-0000BA020000}"/>
    <cellStyle name="Normal 4 4 6 2" xfId="5582" xr:uid="{FD451E41-96EF-41E4-A293-6A953348DEFA}"/>
    <cellStyle name="Normal 4 4 6 2 2" xfId="9800" xr:uid="{58A95C6D-BF68-46BD-B089-E45CA3ACF2F8}"/>
    <cellStyle name="Normal 4 4 6 3" xfId="7655" xr:uid="{D909B280-11B1-4F8A-9D67-6B878F6FC675}"/>
    <cellStyle name="Normal 4 4 6 4" xfId="3353" xr:uid="{A75FAEDC-4F71-4701-A961-CB8DD63867E1}"/>
    <cellStyle name="Normal 4 4 6 5" xfId="2524" xr:uid="{FD78ED6D-E17C-4D89-BE25-1725CBFF4C36}"/>
    <cellStyle name="Normal 4 4 6 6" xfId="1695" xr:uid="{4EBF7109-5F75-406F-BE8A-1AECB4824DD2}"/>
    <cellStyle name="Normal 4 4 7" xfId="3766" xr:uid="{C32021C3-8DB6-4686-9209-5CE2CE44A727}"/>
    <cellStyle name="Normal 4 4 7 2" xfId="5995" xr:uid="{39E86B0A-5AEC-424E-BCDE-1C888D70BC93}"/>
    <cellStyle name="Normal 4 4 7 2 2" xfId="10213" xr:uid="{75F5ABCE-9C74-47CF-ADE7-D2CB624CAB93}"/>
    <cellStyle name="Normal 4 4 7 3" xfId="8068" xr:uid="{10C12C36-4B6A-47D3-8FBF-94EAD215C60C}"/>
    <cellStyle name="Normal 4 4 8" xfId="4179" xr:uid="{A3DD0299-05FE-4908-8834-6917D18C9598}"/>
    <cellStyle name="Normal 4 4 8 2" xfId="6408" xr:uid="{719BD78D-5653-4F8E-B3B1-469660364E9C}"/>
    <cellStyle name="Normal 4 4 8 2 2" xfId="10626" xr:uid="{9198CB2B-1B21-4192-9808-5F51CBE3DF6A}"/>
    <cellStyle name="Normal 4 4 8 3" xfId="8481" xr:uid="{24A94A98-8918-4ACB-A577-7A3FF7EE49E4}"/>
    <cellStyle name="Normal 4 4 9" xfId="4592" xr:uid="{D82B6F67-3FB3-42ED-A3C8-CCA5A0C1FFD7}"/>
    <cellStyle name="Normal 4 4 9 2" xfId="6821" xr:uid="{C14B126A-68C1-4A46-BD37-E8C29F3066FC}"/>
    <cellStyle name="Normal 4 4 9 2 2" xfId="11039" xr:uid="{9D93B209-2FC7-4724-9779-1C18D49267BD}"/>
    <cellStyle name="Normal 4 4 9 3" xfId="8894" xr:uid="{8272DAD1-C07A-4C47-8616-100B1DF5520A}"/>
    <cellStyle name="Normal 4 5" xfId="397" xr:uid="{00000000-0005-0000-0000-0000BB020000}"/>
    <cellStyle name="Normal 4 6" xfId="398" xr:uid="{00000000-0005-0000-0000-0000BC020000}"/>
    <cellStyle name="Normal 4 6 10" xfId="7258" xr:uid="{F388033D-BCF6-40FD-A543-575BBDB2D583}"/>
    <cellStyle name="Normal 4 6 11" xfId="2954" xr:uid="{4A13C253-6429-43CA-A69E-AEF79A7C134D}"/>
    <cellStyle name="Normal 4 6 12" xfId="2124" xr:uid="{AF2823EF-F9A3-4969-9F6E-C5EF43FC4DD3}"/>
    <cellStyle name="Normal 4 6 13" xfId="1295" xr:uid="{7B9F96D0-FE8E-4109-9002-848C510FFE87}"/>
    <cellStyle name="Normal 4 6 2" xfId="399" xr:uid="{00000000-0005-0000-0000-0000BD020000}"/>
    <cellStyle name="Normal 4 6 2 10" xfId="2955" xr:uid="{8308715D-79FB-4EC8-BE45-3143924A9382}"/>
    <cellStyle name="Normal 4 6 2 11" xfId="2125" xr:uid="{DC64966B-0A70-41A8-B289-4E8FC172F04B}"/>
    <cellStyle name="Normal 4 6 2 12" xfId="1296" xr:uid="{2FBD3F1E-26DD-4DEB-B907-4D2A8FAC128D}"/>
    <cellStyle name="Normal 4 6 2 2" xfId="400" xr:uid="{00000000-0005-0000-0000-0000BE020000}"/>
    <cellStyle name="Normal 4 6 2 2 10" xfId="2126" xr:uid="{CAA81150-1CC2-43C4-9126-5B8E70062B86}"/>
    <cellStyle name="Normal 4 6 2 2 11" xfId="1297" xr:uid="{9F18E4A2-341E-4B60-A1AF-4E241244951D}"/>
    <cellStyle name="Normal 4 6 2 2 2" xfId="401" xr:uid="{00000000-0005-0000-0000-0000BF020000}"/>
    <cellStyle name="Normal 4 6 2 2 2 10" xfId="1298" xr:uid="{9DC8B339-7C18-44CE-808C-7827B630196E}"/>
    <cellStyle name="Normal 4 6 2 2 2 2" xfId="880" xr:uid="{00000000-0005-0000-0000-0000C0020000}"/>
    <cellStyle name="Normal 4 6 2 2 2 2 2" xfId="5601" xr:uid="{EB584C8E-3929-4CA3-977E-C6CD7AEACDAC}"/>
    <cellStyle name="Normal 4 6 2 2 2 2 2 2" xfId="9819" xr:uid="{3B32DFDA-E3D1-40C8-B036-E56912274C64}"/>
    <cellStyle name="Normal 4 6 2 2 2 2 3" xfId="7674" xr:uid="{354A2B61-3F5E-4ADE-91BC-02A87753FF60}"/>
    <cellStyle name="Normal 4 6 2 2 2 2 4" xfId="3372" xr:uid="{61D1CAC7-CF72-4C47-8AD8-EC1085D1DAD3}"/>
    <cellStyle name="Normal 4 6 2 2 2 2 5" xfId="2543" xr:uid="{E4D13B8A-FD84-4B4F-B344-B5D71CCB2D33}"/>
    <cellStyle name="Normal 4 6 2 2 2 2 6" xfId="1714" xr:uid="{E587B34B-640E-4093-A38D-A8576954F5AC}"/>
    <cellStyle name="Normal 4 6 2 2 2 3" xfId="3785" xr:uid="{2662964F-1FF9-428B-A324-BD84576CFC85}"/>
    <cellStyle name="Normal 4 6 2 2 2 3 2" xfId="6014" xr:uid="{0F596F4F-00AC-4007-A8F6-A6B5D355B6BC}"/>
    <cellStyle name="Normal 4 6 2 2 2 3 2 2" xfId="10232" xr:uid="{9CC0D60B-31F2-4AA4-A210-3983B86578F7}"/>
    <cellStyle name="Normal 4 6 2 2 2 3 3" xfId="8087" xr:uid="{4BDFF793-545B-459E-917F-2343886186D7}"/>
    <cellStyle name="Normal 4 6 2 2 2 4" xfId="4198" xr:uid="{F1BA2FDE-C0F6-4A51-BB43-671B3DE72280}"/>
    <cellStyle name="Normal 4 6 2 2 2 4 2" xfId="6427" xr:uid="{8F1371D3-7349-4FCD-A55A-BC2108000DAE}"/>
    <cellStyle name="Normal 4 6 2 2 2 4 2 2" xfId="10645" xr:uid="{3C12DC74-FFA3-4F6E-BA53-2321D3D49570}"/>
    <cellStyle name="Normal 4 6 2 2 2 4 3" xfId="8500" xr:uid="{2A86EDF0-C36A-459C-A05E-0F5400883213}"/>
    <cellStyle name="Normal 4 6 2 2 2 5" xfId="4611" xr:uid="{545D77F0-A1B9-4087-A821-A704B99E2347}"/>
    <cellStyle name="Normal 4 6 2 2 2 5 2" xfId="6840" xr:uid="{2D4630E5-0AED-45EA-BE7A-A7C480C04DDE}"/>
    <cellStyle name="Normal 4 6 2 2 2 5 2 2" xfId="11058" xr:uid="{18E3C8F9-E754-4029-8948-770F8F148EFD}"/>
    <cellStyle name="Normal 4 6 2 2 2 5 3" xfId="8913" xr:uid="{E35552D2-CF3E-4AEF-9DA0-EBD2F19C1099}"/>
    <cellStyle name="Normal 4 6 2 2 2 6" xfId="5047" xr:uid="{D30F7A4C-1D58-4133-91A0-0AED0B0529F2}"/>
    <cellStyle name="Normal 4 6 2 2 2 6 2" xfId="9326" xr:uid="{A82B5B7F-90B2-47BF-9DD3-0B24B14A6637}"/>
    <cellStyle name="Normal 4 6 2 2 2 7" xfId="7261" xr:uid="{73C6ED08-3CCB-4F6E-9533-DB5639DFA45C}"/>
    <cellStyle name="Normal 4 6 2 2 2 8" xfId="2957" xr:uid="{AA3E83F5-F798-46D8-9C47-71CD31BC6CFB}"/>
    <cellStyle name="Normal 4 6 2 2 2 9" xfId="2127" xr:uid="{CF25372D-4105-4D98-BCD4-D250D4159233}"/>
    <cellStyle name="Normal 4 6 2 2 3" xfId="879" xr:uid="{00000000-0005-0000-0000-0000C1020000}"/>
    <cellStyle name="Normal 4 6 2 2 3 2" xfId="5600" xr:uid="{DAA22324-BEAB-436F-9307-898038CC9EC6}"/>
    <cellStyle name="Normal 4 6 2 2 3 2 2" xfId="9818" xr:uid="{CD8703D2-C0F8-43A5-8FE1-818E6ECF9A8C}"/>
    <cellStyle name="Normal 4 6 2 2 3 3" xfId="7673" xr:uid="{1EED2958-2DD0-4C53-9DA8-95977A57A2A7}"/>
    <cellStyle name="Normal 4 6 2 2 3 4" xfId="3371" xr:uid="{71D508CC-2F4F-497B-B5B3-08FE60B38309}"/>
    <cellStyle name="Normal 4 6 2 2 3 5" xfId="2542" xr:uid="{04D4ED63-FE6F-4E56-9921-0491744EB56F}"/>
    <cellStyle name="Normal 4 6 2 2 3 6" xfId="1713" xr:uid="{8FD5BF6D-1D90-4364-96E2-F4BAE37FD843}"/>
    <cellStyle name="Normal 4 6 2 2 4" xfId="3784" xr:uid="{04CBDE6A-4517-45BF-8356-A1647DDDE3A5}"/>
    <cellStyle name="Normal 4 6 2 2 4 2" xfId="6013" xr:uid="{1601950C-33B4-4E56-96E7-11F59558387E}"/>
    <cellStyle name="Normal 4 6 2 2 4 2 2" xfId="10231" xr:uid="{B7DC9EFA-3E45-406A-9FB4-1CF32F31FCE4}"/>
    <cellStyle name="Normal 4 6 2 2 4 3" xfId="8086" xr:uid="{4D08742B-7457-4E3D-A601-72171C3A392C}"/>
    <cellStyle name="Normal 4 6 2 2 5" xfId="4197" xr:uid="{D4E0FF32-8679-4802-B974-6BA10A98961B}"/>
    <cellStyle name="Normal 4 6 2 2 5 2" xfId="6426" xr:uid="{248900A9-5B7F-4EA1-A1E7-6928D00FB5B1}"/>
    <cellStyle name="Normal 4 6 2 2 5 2 2" xfId="10644" xr:uid="{79533703-51AB-4D4D-BBB7-785821AFE65A}"/>
    <cellStyle name="Normal 4 6 2 2 5 3" xfId="8499" xr:uid="{C5F3673A-6BC0-4A5A-905F-DB9EA8E69B95}"/>
    <cellStyle name="Normal 4 6 2 2 6" xfId="4610" xr:uid="{D3FA301C-15B2-4BF6-B93C-ED6A134071C3}"/>
    <cellStyle name="Normal 4 6 2 2 6 2" xfId="6839" xr:uid="{ECF566D5-1BC0-4A91-8D41-59F9D501491B}"/>
    <cellStyle name="Normal 4 6 2 2 6 2 2" xfId="11057" xr:uid="{AC5DA0E5-6515-4B07-957E-F817B50E9730}"/>
    <cellStyle name="Normal 4 6 2 2 6 3" xfId="8912" xr:uid="{ABB79D83-A39E-4FBD-B5C5-42B39C7704C0}"/>
    <cellStyle name="Normal 4 6 2 2 7" xfId="5046" xr:uid="{7440E7B0-DC8B-446E-8D8E-FF971EEF84E1}"/>
    <cellStyle name="Normal 4 6 2 2 7 2" xfId="9325" xr:uid="{AF507A9A-54E2-4257-A6CF-26792D0A56D8}"/>
    <cellStyle name="Normal 4 6 2 2 8" xfId="7260" xr:uid="{8D390D1A-8BF9-4172-B9CB-D7F951C1DC7A}"/>
    <cellStyle name="Normal 4 6 2 2 9" xfId="2956" xr:uid="{E2B32BE4-D791-4F36-BFE5-AC19A5D87BB5}"/>
    <cellStyle name="Normal 4 6 2 3" xfId="402" xr:uid="{00000000-0005-0000-0000-0000C2020000}"/>
    <cellStyle name="Normal 4 6 2 3 10" xfId="1299" xr:uid="{69B6DED8-B0FA-4817-BA9A-EF73467F3D44}"/>
    <cellStyle name="Normal 4 6 2 3 2" xfId="881" xr:uid="{00000000-0005-0000-0000-0000C3020000}"/>
    <cellStyle name="Normal 4 6 2 3 2 2" xfId="5602" xr:uid="{BBAE2B29-F5E2-43EE-A25A-ECB84E842840}"/>
    <cellStyle name="Normal 4 6 2 3 2 2 2" xfId="9820" xr:uid="{DE819591-EA22-4E47-858B-AA69809BD34E}"/>
    <cellStyle name="Normal 4 6 2 3 2 3" xfId="7675" xr:uid="{6A51247F-70E6-4339-AFA8-170D1527F0DB}"/>
    <cellStyle name="Normal 4 6 2 3 2 4" xfId="3373" xr:uid="{7705E491-B826-4751-808A-9B221FE24D24}"/>
    <cellStyle name="Normal 4 6 2 3 2 5" xfId="2544" xr:uid="{94E93FBA-F4F1-4FCA-B092-447DA1437A04}"/>
    <cellStyle name="Normal 4 6 2 3 2 6" xfId="1715" xr:uid="{101D4128-F3CE-4D6D-96D7-7005FAD3635D}"/>
    <cellStyle name="Normal 4 6 2 3 3" xfId="3786" xr:uid="{CB8D45B5-7363-4C65-B2F1-11F016E89B3E}"/>
    <cellStyle name="Normal 4 6 2 3 3 2" xfId="6015" xr:uid="{94CF995B-4D32-4BCE-90C6-20CCCDA394D5}"/>
    <cellStyle name="Normal 4 6 2 3 3 2 2" xfId="10233" xr:uid="{5F7FD4AC-B85E-472C-8A0D-3B8D3DB8A36E}"/>
    <cellStyle name="Normal 4 6 2 3 3 3" xfId="8088" xr:uid="{E806889D-3A24-4067-8FC5-636D3C587832}"/>
    <cellStyle name="Normal 4 6 2 3 4" xfId="4199" xr:uid="{EE8AD8C2-32B1-424A-B4CC-3ADA81E21293}"/>
    <cellStyle name="Normal 4 6 2 3 4 2" xfId="6428" xr:uid="{5569C3E3-CBDC-4B87-AE06-BC5B33C164CA}"/>
    <cellStyle name="Normal 4 6 2 3 4 2 2" xfId="10646" xr:uid="{0A347A67-6164-4705-AD56-B8B4A1939B29}"/>
    <cellStyle name="Normal 4 6 2 3 4 3" xfId="8501" xr:uid="{C33EA4F6-5868-4716-A5CD-9A981FC4F8F6}"/>
    <cellStyle name="Normal 4 6 2 3 5" xfId="4612" xr:uid="{AD977416-342E-4A5C-A263-A34E18FAA07F}"/>
    <cellStyle name="Normal 4 6 2 3 5 2" xfId="6841" xr:uid="{2EC98D7C-1510-4EA1-B8D1-6DE94D84B9D6}"/>
    <cellStyle name="Normal 4 6 2 3 5 2 2" xfId="11059" xr:uid="{147C1402-813D-44CA-9265-FA5C68E645AC}"/>
    <cellStyle name="Normal 4 6 2 3 5 3" xfId="8914" xr:uid="{AEF0FB05-48F4-4E70-A848-00182C7C6EE5}"/>
    <cellStyle name="Normal 4 6 2 3 6" xfId="5048" xr:uid="{DCCED025-326F-49EA-AFAC-98EAEF6A347F}"/>
    <cellStyle name="Normal 4 6 2 3 6 2" xfId="9327" xr:uid="{EE635F8C-1244-4CB7-A6D0-30022899CA18}"/>
    <cellStyle name="Normal 4 6 2 3 7" xfId="7262" xr:uid="{016DFD01-012A-4D29-923D-94C18915315E}"/>
    <cellStyle name="Normal 4 6 2 3 8" xfId="2958" xr:uid="{09560D0C-7DA9-413E-85A8-B69BF6A05633}"/>
    <cellStyle name="Normal 4 6 2 3 9" xfId="2128" xr:uid="{506F898F-7D48-42F3-A40E-674B297F18D0}"/>
    <cellStyle name="Normal 4 6 2 4" xfId="878" xr:uid="{00000000-0005-0000-0000-0000C4020000}"/>
    <cellStyle name="Normal 4 6 2 4 2" xfId="5599" xr:uid="{2CBDAA96-D2A4-4D05-80CA-BA039AE76220}"/>
    <cellStyle name="Normal 4 6 2 4 2 2" xfId="9817" xr:uid="{02B6B5E6-F14E-4843-8F78-A4720B358E67}"/>
    <cellStyle name="Normal 4 6 2 4 3" xfId="7672" xr:uid="{4A6FBA4B-BC8B-45BA-9B4C-ABC13D479037}"/>
    <cellStyle name="Normal 4 6 2 4 4" xfId="3370" xr:uid="{80E15BEE-1BB8-4F85-9241-7F7841EC927B}"/>
    <cellStyle name="Normal 4 6 2 4 5" xfId="2541" xr:uid="{FA2E13ED-151D-4A57-B683-22C4CA701A15}"/>
    <cellStyle name="Normal 4 6 2 4 6" xfId="1712" xr:uid="{84ACCAC0-2453-4698-AEC8-A083DBCA702D}"/>
    <cellStyle name="Normal 4 6 2 5" xfId="3783" xr:uid="{72C5608F-54CB-421E-ADAB-30010C9E7848}"/>
    <cellStyle name="Normal 4 6 2 5 2" xfId="6012" xr:uid="{4272FA71-9D43-48A3-A0E3-8BDB38E7F83C}"/>
    <cellStyle name="Normal 4 6 2 5 2 2" xfId="10230" xr:uid="{982C9652-DF41-49FE-99C7-E299042AC872}"/>
    <cellStyle name="Normal 4 6 2 5 3" xfId="8085" xr:uid="{F13926C7-9532-45B0-AD98-AD58E2D83F09}"/>
    <cellStyle name="Normal 4 6 2 6" xfId="4196" xr:uid="{C7DE0071-656A-4994-B52B-1B69B6754815}"/>
    <cellStyle name="Normal 4 6 2 6 2" xfId="6425" xr:uid="{DC487F99-3D35-4B74-8CFA-6B3EAB74CA7E}"/>
    <cellStyle name="Normal 4 6 2 6 2 2" xfId="10643" xr:uid="{A0D430CF-FB0B-4E80-A1D0-C9E651D67ACA}"/>
    <cellStyle name="Normal 4 6 2 6 3" xfId="8498" xr:uid="{F8777759-71EB-48E9-8C26-C1749D32A155}"/>
    <cellStyle name="Normal 4 6 2 7" xfId="4609" xr:uid="{39610BD1-9D16-419F-ADBA-CFA836A546AE}"/>
    <cellStyle name="Normal 4 6 2 7 2" xfId="6838" xr:uid="{5475432C-D6B3-4203-893C-B6E29F6F2D4B}"/>
    <cellStyle name="Normal 4 6 2 7 2 2" xfId="11056" xr:uid="{B3F5849C-AB3F-47AE-A728-1BDE84166216}"/>
    <cellStyle name="Normal 4 6 2 7 3" xfId="8911" xr:uid="{76B0B440-B601-46EF-9B00-7F357FF2BE2F}"/>
    <cellStyle name="Normal 4 6 2 8" xfId="5045" xr:uid="{033220E2-576E-4928-B52F-5E527DCEC3D9}"/>
    <cellStyle name="Normal 4 6 2 8 2" xfId="9324" xr:uid="{195C6B44-B3FE-494A-91C1-F05386DA1795}"/>
    <cellStyle name="Normal 4 6 2 9" xfId="7259" xr:uid="{DEB17528-D15D-4C9F-8F77-F1B6C2833E5C}"/>
    <cellStyle name="Normal 4 6 3" xfId="403" xr:uid="{00000000-0005-0000-0000-0000C5020000}"/>
    <cellStyle name="Normal 4 6 3 10" xfId="2129" xr:uid="{BFA1855B-ACA7-42C2-80DD-DD2066D51954}"/>
    <cellStyle name="Normal 4 6 3 11" xfId="1300" xr:uid="{E37B4373-2677-4542-9EDB-9E7A4608B8B3}"/>
    <cellStyle name="Normal 4 6 3 2" xfId="404" xr:uid="{00000000-0005-0000-0000-0000C6020000}"/>
    <cellStyle name="Normal 4 6 3 2 10" xfId="1301" xr:uid="{4764795F-F767-46ED-AEA6-90D0DACA18BE}"/>
    <cellStyle name="Normal 4 6 3 2 2" xfId="883" xr:uid="{00000000-0005-0000-0000-0000C7020000}"/>
    <cellStyle name="Normal 4 6 3 2 2 2" xfId="5604" xr:uid="{CBE26876-9ED5-43C4-BCA9-A5CF98C388EB}"/>
    <cellStyle name="Normal 4 6 3 2 2 2 2" xfId="9822" xr:uid="{7A653B07-58F8-4BB3-8E9A-773366FC4716}"/>
    <cellStyle name="Normal 4 6 3 2 2 3" xfId="7677" xr:uid="{6B06A9F3-5DB4-4A34-9CF8-A62511B42399}"/>
    <cellStyle name="Normal 4 6 3 2 2 4" xfId="3375" xr:uid="{13C08315-26B7-4911-814C-2A0EC834ED24}"/>
    <cellStyle name="Normal 4 6 3 2 2 5" xfId="2546" xr:uid="{799DB72A-9D9B-4E81-8DC2-38E28BC4D836}"/>
    <cellStyle name="Normal 4 6 3 2 2 6" xfId="1717" xr:uid="{74FEBC11-6C27-413B-8337-CC6158C96302}"/>
    <cellStyle name="Normal 4 6 3 2 3" xfId="3788" xr:uid="{944BB223-14F1-487D-A587-8C05A88B5B4F}"/>
    <cellStyle name="Normal 4 6 3 2 3 2" xfId="6017" xr:uid="{4F30845A-4F99-4DB8-9A6B-1656425F0F56}"/>
    <cellStyle name="Normal 4 6 3 2 3 2 2" xfId="10235" xr:uid="{12C6DE77-26D2-4705-A9C5-75594E5CAEDA}"/>
    <cellStyle name="Normal 4 6 3 2 3 3" xfId="8090" xr:uid="{AA8B2AB2-5017-4AD0-B164-63C7EF1CFBFB}"/>
    <cellStyle name="Normal 4 6 3 2 4" xfId="4201" xr:uid="{64D49C18-8A40-4607-86F5-074B903D18FD}"/>
    <cellStyle name="Normal 4 6 3 2 4 2" xfId="6430" xr:uid="{ED3C87AA-BF8F-4591-B962-08E24ADE7859}"/>
    <cellStyle name="Normal 4 6 3 2 4 2 2" xfId="10648" xr:uid="{D417F46A-4674-4EA6-BAE1-A584B861169A}"/>
    <cellStyle name="Normal 4 6 3 2 4 3" xfId="8503" xr:uid="{9443EF65-9A27-42DB-9EB7-0A4C17A39A63}"/>
    <cellStyle name="Normal 4 6 3 2 5" xfId="4614" xr:uid="{A5E89A61-B776-4014-962D-A7417C172DA8}"/>
    <cellStyle name="Normal 4 6 3 2 5 2" xfId="6843" xr:uid="{FE5FBD0F-6B94-47AE-999F-AB554C8B374F}"/>
    <cellStyle name="Normal 4 6 3 2 5 2 2" xfId="11061" xr:uid="{DAFC7105-75AD-4EDA-8888-7CB60146AD44}"/>
    <cellStyle name="Normal 4 6 3 2 5 3" xfId="8916" xr:uid="{1D06D6A5-35F3-4A30-9224-BC5883308C67}"/>
    <cellStyle name="Normal 4 6 3 2 6" xfId="5050" xr:uid="{E4DAE1DA-A205-43A0-9AAF-7788F95A09C6}"/>
    <cellStyle name="Normal 4 6 3 2 6 2" xfId="9329" xr:uid="{930F3F99-24A7-4857-B7A7-AEE815253143}"/>
    <cellStyle name="Normal 4 6 3 2 7" xfId="7264" xr:uid="{EF934E80-5C64-49A3-94AE-C52156C06F52}"/>
    <cellStyle name="Normal 4 6 3 2 8" xfId="2960" xr:uid="{1D690415-A110-4BBA-BA8E-70CB7C5E3436}"/>
    <cellStyle name="Normal 4 6 3 2 9" xfId="2130" xr:uid="{8BB5A1E6-C8E8-4AF7-9C99-103C1D3054A5}"/>
    <cellStyle name="Normal 4 6 3 3" xfId="882" xr:uid="{00000000-0005-0000-0000-0000C8020000}"/>
    <cellStyle name="Normal 4 6 3 3 2" xfId="5603" xr:uid="{F47E2E30-D2D9-4CEB-AD50-A2C0C8F92862}"/>
    <cellStyle name="Normal 4 6 3 3 2 2" xfId="9821" xr:uid="{244AF891-06E3-4654-9E6A-E916D2D09C5B}"/>
    <cellStyle name="Normal 4 6 3 3 3" xfId="7676" xr:uid="{F6257EAE-5BA4-4B4E-AC11-C9DFB46F1E54}"/>
    <cellStyle name="Normal 4 6 3 3 4" xfId="3374" xr:uid="{0F18551E-40D8-4E7F-A67F-3E02CD89F75C}"/>
    <cellStyle name="Normal 4 6 3 3 5" xfId="2545" xr:uid="{4DED78B0-1181-459A-9263-2C0F64E465A0}"/>
    <cellStyle name="Normal 4 6 3 3 6" xfId="1716" xr:uid="{D7AFF3CF-248E-4FFA-9E07-460C8EBB1ADD}"/>
    <cellStyle name="Normal 4 6 3 4" xfId="3787" xr:uid="{A5F236B8-3524-4501-964B-079010174542}"/>
    <cellStyle name="Normal 4 6 3 4 2" xfId="6016" xr:uid="{B5D21919-D526-47FB-BEB7-CB6FBA2ADF5B}"/>
    <cellStyle name="Normal 4 6 3 4 2 2" xfId="10234" xr:uid="{0F3C75F1-CCCB-4FA2-A09E-6883B60CB3BF}"/>
    <cellStyle name="Normal 4 6 3 4 3" xfId="8089" xr:uid="{84D9DD6A-F11F-42D4-A59F-40BD36BDC5E4}"/>
    <cellStyle name="Normal 4 6 3 5" xfId="4200" xr:uid="{E3950A19-57BA-47D5-BC6E-24D4DCD0B207}"/>
    <cellStyle name="Normal 4 6 3 5 2" xfId="6429" xr:uid="{D25856FA-2CF9-4132-8979-4676C0098204}"/>
    <cellStyle name="Normal 4 6 3 5 2 2" xfId="10647" xr:uid="{56B9B3A5-1D9F-4202-9619-9C30ADFF1D6E}"/>
    <cellStyle name="Normal 4 6 3 5 3" xfId="8502" xr:uid="{0AC24F22-AF33-4D68-8B71-07E86DB6275E}"/>
    <cellStyle name="Normal 4 6 3 6" xfId="4613" xr:uid="{EA101C8F-6830-4D09-A9FF-4FC83DAD4BE9}"/>
    <cellStyle name="Normal 4 6 3 6 2" xfId="6842" xr:uid="{38FE6464-0799-450F-8700-33D1581096CC}"/>
    <cellStyle name="Normal 4 6 3 6 2 2" xfId="11060" xr:uid="{5F971D76-179B-4CBF-A839-1E8593B72749}"/>
    <cellStyle name="Normal 4 6 3 6 3" xfId="8915" xr:uid="{517CA660-8977-4F0E-B8C2-0716858DEA11}"/>
    <cellStyle name="Normal 4 6 3 7" xfId="5049" xr:uid="{9D5E0492-C5C9-4487-8B82-F17B51A2567B}"/>
    <cellStyle name="Normal 4 6 3 7 2" xfId="9328" xr:uid="{85611DA0-C238-41AA-9B0D-5F60D70ADCC8}"/>
    <cellStyle name="Normal 4 6 3 8" xfId="7263" xr:uid="{EF778B41-6000-4CE6-AA4D-88824B5686A0}"/>
    <cellStyle name="Normal 4 6 3 9" xfId="2959" xr:uid="{C79D3096-E3E2-49D5-8FF9-9EF409CAE8DA}"/>
    <cellStyle name="Normal 4 6 4" xfId="405" xr:uid="{00000000-0005-0000-0000-0000C9020000}"/>
    <cellStyle name="Normal 4 6 4 10" xfId="1302" xr:uid="{BB21C9C0-BC1B-4D26-B9F9-A11DC1632FC3}"/>
    <cellStyle name="Normal 4 6 4 2" xfId="884" xr:uid="{00000000-0005-0000-0000-0000CA020000}"/>
    <cellStyle name="Normal 4 6 4 2 2" xfId="5605" xr:uid="{827A7F4B-17E9-4C86-B9E8-AFAAB5655271}"/>
    <cellStyle name="Normal 4 6 4 2 2 2" xfId="9823" xr:uid="{7AE51261-3630-4D4B-9A76-B2C219C015F2}"/>
    <cellStyle name="Normal 4 6 4 2 3" xfId="7678" xr:uid="{4AB99690-1B49-464C-AF3D-AC0C6EED4956}"/>
    <cellStyle name="Normal 4 6 4 2 4" xfId="3376" xr:uid="{24B81F87-1BC5-415A-B6FF-D5D45824C5A6}"/>
    <cellStyle name="Normal 4 6 4 2 5" xfId="2547" xr:uid="{C102A9EB-BEF8-4DDB-9F36-E1D833DF8FFE}"/>
    <cellStyle name="Normal 4 6 4 2 6" xfId="1718" xr:uid="{E8A23BA1-8F14-4027-A769-39E9A6F4ECC6}"/>
    <cellStyle name="Normal 4 6 4 3" xfId="3789" xr:uid="{EEB95E9F-A26C-4CBF-BE07-38F3B811814D}"/>
    <cellStyle name="Normal 4 6 4 3 2" xfId="6018" xr:uid="{215E5274-95F2-41CF-8975-3B324F5CE25A}"/>
    <cellStyle name="Normal 4 6 4 3 2 2" xfId="10236" xr:uid="{2EDA21E4-4128-44D2-B8E4-71F2E86D5991}"/>
    <cellStyle name="Normal 4 6 4 3 3" xfId="8091" xr:uid="{1E095F69-562D-4AD8-BD23-1D77DE8D3D94}"/>
    <cellStyle name="Normal 4 6 4 4" xfId="4202" xr:uid="{FDA5ED22-278F-4CEF-9FCC-50BA7A647290}"/>
    <cellStyle name="Normal 4 6 4 4 2" xfId="6431" xr:uid="{EC55C5FC-D08F-41B9-8266-4EE8C02FA84B}"/>
    <cellStyle name="Normal 4 6 4 4 2 2" xfId="10649" xr:uid="{9306BF51-FD77-418E-8504-06C02511BF2D}"/>
    <cellStyle name="Normal 4 6 4 4 3" xfId="8504" xr:uid="{1F7DB2E0-9278-416F-922E-CD0EE8A5DEAE}"/>
    <cellStyle name="Normal 4 6 4 5" xfId="4615" xr:uid="{1F3B1F23-D642-4C5C-BA74-0F9269042F5D}"/>
    <cellStyle name="Normal 4 6 4 5 2" xfId="6844" xr:uid="{0DC02D55-A008-4AD8-BEDD-BDB816EF283C}"/>
    <cellStyle name="Normal 4 6 4 5 2 2" xfId="11062" xr:uid="{8726853B-596B-43E4-A5EC-78F68BE00B11}"/>
    <cellStyle name="Normal 4 6 4 5 3" xfId="8917" xr:uid="{FCEF500A-954F-42EE-90FA-2C7F9D21DB75}"/>
    <cellStyle name="Normal 4 6 4 6" xfId="5051" xr:uid="{CD5DA524-69DC-4BAC-B1E0-44E20F0307CA}"/>
    <cellStyle name="Normal 4 6 4 6 2" xfId="9330" xr:uid="{297DD750-6BFC-45A5-873F-C5CE789658A0}"/>
    <cellStyle name="Normal 4 6 4 7" xfId="7265" xr:uid="{A20BD985-F74C-4867-BF46-4C940A8F68B1}"/>
    <cellStyle name="Normal 4 6 4 8" xfId="2961" xr:uid="{95C96482-EEEE-4D9A-A5E7-766876B67EEF}"/>
    <cellStyle name="Normal 4 6 4 9" xfId="2131" xr:uid="{2E13A5E7-9911-452D-B9D0-705A3D88E4DD}"/>
    <cellStyle name="Normal 4 6 5" xfId="877" xr:uid="{00000000-0005-0000-0000-0000CB020000}"/>
    <cellStyle name="Normal 4 6 5 2" xfId="5598" xr:uid="{8B01C710-F112-4EF9-9029-19CC55F5E391}"/>
    <cellStyle name="Normal 4 6 5 2 2" xfId="9816" xr:uid="{F4CFB53E-6AA7-4874-897C-B8C7DF18F805}"/>
    <cellStyle name="Normal 4 6 5 3" xfId="7671" xr:uid="{7B8E9C3E-A2EA-4CAE-B52A-42B2BCA994BC}"/>
    <cellStyle name="Normal 4 6 5 4" xfId="3369" xr:uid="{01E29F0D-0D3B-4254-A1D4-4167B4BAE838}"/>
    <cellStyle name="Normal 4 6 5 5" xfId="2540" xr:uid="{57B01DA1-6A16-46AD-A48A-51468B5DF988}"/>
    <cellStyle name="Normal 4 6 5 6" xfId="1711" xr:uid="{45E044B9-709F-46E0-9668-083CE4701D7C}"/>
    <cellStyle name="Normal 4 6 6" xfId="3782" xr:uid="{C8AF0A1D-82FB-4071-91A6-776C1BF67A12}"/>
    <cellStyle name="Normal 4 6 6 2" xfId="6011" xr:uid="{7D955242-7EA4-4EF9-8AAA-DB03E70098A3}"/>
    <cellStyle name="Normal 4 6 6 2 2" xfId="10229" xr:uid="{981FB5C1-3591-4145-9136-C0E9C8FCE274}"/>
    <cellStyle name="Normal 4 6 6 3" xfId="8084" xr:uid="{9D960AE9-9CB0-49AF-822A-FB4983069040}"/>
    <cellStyle name="Normal 4 6 7" xfId="4195" xr:uid="{967FD06B-B6DF-40BF-9AAF-C7A98942ADD1}"/>
    <cellStyle name="Normal 4 6 7 2" xfId="6424" xr:uid="{C13C9972-DA8E-4091-804C-21BBE3AB19C2}"/>
    <cellStyle name="Normal 4 6 7 2 2" xfId="10642" xr:uid="{6726C3A9-34F9-449D-8CE7-D317CD8E1686}"/>
    <cellStyle name="Normal 4 6 7 3" xfId="8497" xr:uid="{2207F13A-BC80-4366-912A-530FC7A45DAF}"/>
    <cellStyle name="Normal 4 6 8" xfId="4608" xr:uid="{D6934A1A-F171-4FFA-9486-14877B70A353}"/>
    <cellStyle name="Normal 4 6 8 2" xfId="6837" xr:uid="{27284667-7AA1-4470-B062-57BD9CF7C7E1}"/>
    <cellStyle name="Normal 4 6 8 2 2" xfId="11055" xr:uid="{DF8F5B8A-AF02-46F1-9A06-6CC0F90729B3}"/>
    <cellStyle name="Normal 4 6 8 3" xfId="8910" xr:uid="{4E5D59EF-ED80-44E8-8A56-D51D61AE4984}"/>
    <cellStyle name="Normal 4 6 9" xfId="5044" xr:uid="{D32B74D4-ADB0-4776-A3B0-22FEE7588E3A}"/>
    <cellStyle name="Normal 4 6 9 2" xfId="9323" xr:uid="{A136F134-3B66-4452-A11B-593FC8B03E13}"/>
    <cellStyle name="Normal 4 7" xfId="406" xr:uid="{00000000-0005-0000-0000-0000CC020000}"/>
    <cellStyle name="Normal 4 7 10" xfId="2132" xr:uid="{8998AF9B-FB89-4FEF-A9A8-B9F9B3EDAAD7}"/>
    <cellStyle name="Normal 4 7 11" xfId="1303" xr:uid="{50971AAA-776D-4E97-A374-4F051CD6E29C}"/>
    <cellStyle name="Normal 4 7 2" xfId="407" xr:uid="{00000000-0005-0000-0000-0000CD020000}"/>
    <cellStyle name="Normal 4 7 2 10" xfId="1304" xr:uid="{8C541460-5D2B-4261-B14A-2B2F6488A730}"/>
    <cellStyle name="Normal 4 7 2 2" xfId="886" xr:uid="{00000000-0005-0000-0000-0000CE020000}"/>
    <cellStyle name="Normal 4 7 2 2 2" xfId="5607" xr:uid="{967F1C89-BEF4-4569-97F8-A82C0F5F7DC6}"/>
    <cellStyle name="Normal 4 7 2 2 2 2" xfId="9825" xr:uid="{A7BB06F5-F3F4-4C32-8140-B4FBA5286FA0}"/>
    <cellStyle name="Normal 4 7 2 2 3" xfId="7680" xr:uid="{DFD6C341-A18B-4C1B-82D3-25593E416727}"/>
    <cellStyle name="Normal 4 7 2 2 4" xfId="3378" xr:uid="{336A0D6A-9C9A-4918-B855-AF503E34E7FF}"/>
    <cellStyle name="Normal 4 7 2 2 5" xfId="2549" xr:uid="{06B0D8B4-389E-4192-8D32-0F67ADE2495A}"/>
    <cellStyle name="Normal 4 7 2 2 6" xfId="1720" xr:uid="{16DA47FC-5BC1-41F2-92E6-0A46E071E9B5}"/>
    <cellStyle name="Normal 4 7 2 3" xfId="3791" xr:uid="{26C0DB4E-6585-48F8-88F5-1385DBB4041E}"/>
    <cellStyle name="Normal 4 7 2 3 2" xfId="6020" xr:uid="{082D537C-EEEF-47CA-B3DD-B0AE5A688A32}"/>
    <cellStyle name="Normal 4 7 2 3 2 2" xfId="10238" xr:uid="{8A86DD59-94CD-48A7-8708-008A75457250}"/>
    <cellStyle name="Normal 4 7 2 3 3" xfId="8093" xr:uid="{17580B61-B67F-4E1A-8A50-D8BACF94769C}"/>
    <cellStyle name="Normal 4 7 2 4" xfId="4204" xr:uid="{252C0300-BA25-4E75-B62E-F48F66D8DF9E}"/>
    <cellStyle name="Normal 4 7 2 4 2" xfId="6433" xr:uid="{9706BC76-2970-4D31-8AAB-1BE2E15AB985}"/>
    <cellStyle name="Normal 4 7 2 4 2 2" xfId="10651" xr:uid="{6FF5F36A-2F8F-48B2-9D93-6828E935F130}"/>
    <cellStyle name="Normal 4 7 2 4 3" xfId="8506" xr:uid="{168E9970-693E-47B7-AB73-3542025FD4AC}"/>
    <cellStyle name="Normal 4 7 2 5" xfId="4617" xr:uid="{DCC9AE66-231A-4984-95B3-18626AC08B8C}"/>
    <cellStyle name="Normal 4 7 2 5 2" xfId="6846" xr:uid="{F0D2695F-9562-473C-8BB7-92B824A79777}"/>
    <cellStyle name="Normal 4 7 2 5 2 2" xfId="11064" xr:uid="{B0B9983D-87B7-4565-A95C-EA9A9ABD44F4}"/>
    <cellStyle name="Normal 4 7 2 5 3" xfId="8919" xr:uid="{21F7DD0F-3AAA-448D-9022-F5F17253DDC9}"/>
    <cellStyle name="Normal 4 7 2 6" xfId="5053" xr:uid="{7CB913AC-CC28-4C7B-A879-36D7906C5AA3}"/>
    <cellStyle name="Normal 4 7 2 6 2" xfId="9332" xr:uid="{E09D71F3-4AAB-4F04-A14E-ABF7667EE970}"/>
    <cellStyle name="Normal 4 7 2 7" xfId="7267" xr:uid="{6DD90C77-4CAB-47EE-BDE7-4B531BC19F98}"/>
    <cellStyle name="Normal 4 7 2 8" xfId="2963" xr:uid="{2AFF8EC0-A652-40CE-9892-9CC6F32D6305}"/>
    <cellStyle name="Normal 4 7 2 9" xfId="2133" xr:uid="{712C6FAF-9365-4174-BD6E-B77D79B965FB}"/>
    <cellStyle name="Normal 4 7 3" xfId="885" xr:uid="{00000000-0005-0000-0000-0000CF020000}"/>
    <cellStyle name="Normal 4 7 3 2" xfId="5606" xr:uid="{EAC6FF9B-B9E0-433D-B3FE-5CD8375F958A}"/>
    <cellStyle name="Normal 4 7 3 2 2" xfId="9824" xr:uid="{E2859DE3-4E5F-4A71-AA16-70AD03859969}"/>
    <cellStyle name="Normal 4 7 3 3" xfId="7679" xr:uid="{B62CFAD9-D2C0-4B1B-93F4-4CE6B6F421DC}"/>
    <cellStyle name="Normal 4 7 3 4" xfId="3377" xr:uid="{281A0031-682D-460E-B808-CBBA5D733BF1}"/>
    <cellStyle name="Normal 4 7 3 5" xfId="2548" xr:uid="{85619532-2338-4306-A29C-E945F1453DBE}"/>
    <cellStyle name="Normal 4 7 3 6" xfId="1719" xr:uid="{83DF361A-70CE-436A-901B-8BA2245B605F}"/>
    <cellStyle name="Normal 4 7 4" xfId="3790" xr:uid="{AA36D994-345E-4895-9999-F7D678BD2A5A}"/>
    <cellStyle name="Normal 4 7 4 2" xfId="6019" xr:uid="{861F9057-1A4B-400C-8DB9-24395CEC0E19}"/>
    <cellStyle name="Normal 4 7 4 2 2" xfId="10237" xr:uid="{E0AAECE0-B15B-4486-85AE-ECD9DB02408A}"/>
    <cellStyle name="Normal 4 7 4 3" xfId="8092" xr:uid="{1AD117D2-8E70-4284-A592-F133C483F09A}"/>
    <cellStyle name="Normal 4 7 5" xfId="4203" xr:uid="{FDA455BB-3AD2-4664-AC51-84E24A65DA05}"/>
    <cellStyle name="Normal 4 7 5 2" xfId="6432" xr:uid="{5580D91D-1B35-4782-ABAE-7C48F017D291}"/>
    <cellStyle name="Normal 4 7 5 2 2" xfId="10650" xr:uid="{1C1146CD-98B0-4F1C-A04A-50A2604D0A31}"/>
    <cellStyle name="Normal 4 7 5 3" xfId="8505" xr:uid="{8C887F1D-A5FC-40D1-8B19-F887F4F97AA4}"/>
    <cellStyle name="Normal 4 7 6" xfId="4616" xr:uid="{897FE67A-790D-4D37-B6D8-8AEAF00438B8}"/>
    <cellStyle name="Normal 4 7 6 2" xfId="6845" xr:uid="{15FE6E46-1792-43FD-B7F3-7FF72233B425}"/>
    <cellStyle name="Normal 4 7 6 2 2" xfId="11063" xr:uid="{71E5CA1C-F450-4540-AB68-E6E1204CC61A}"/>
    <cellStyle name="Normal 4 7 6 3" xfId="8918" xr:uid="{1E56CFAC-B2D9-4097-9B55-2B146FE6E68B}"/>
    <cellStyle name="Normal 4 7 7" xfId="5052" xr:uid="{5998DC0D-FA79-47CC-B585-45F91E206EFD}"/>
    <cellStyle name="Normal 4 7 7 2" xfId="9331" xr:uid="{64FD52BB-ADE3-4590-9400-CBDA189E796F}"/>
    <cellStyle name="Normal 4 7 8" xfId="7266" xr:uid="{96855A21-4199-4B8E-A540-8757E6739A64}"/>
    <cellStyle name="Normal 4 7 9" xfId="2962" xr:uid="{65426E02-137C-492B-A074-AD42F291C2E6}"/>
    <cellStyle name="Normal 4 8" xfId="408" xr:uid="{00000000-0005-0000-0000-0000D0020000}"/>
    <cellStyle name="Normal 4 8 10" xfId="1305" xr:uid="{FB86824E-A303-4D27-AC49-B88E2F6176E2}"/>
    <cellStyle name="Normal 4 8 2" xfId="887" xr:uid="{00000000-0005-0000-0000-0000D1020000}"/>
    <cellStyle name="Normal 4 8 2 2" xfId="5608" xr:uid="{27E17B4C-AAEA-4F66-874C-4FAF94BFC66C}"/>
    <cellStyle name="Normal 4 8 2 2 2" xfId="9826" xr:uid="{8C3E439F-B32B-419D-997D-D114B6EF0319}"/>
    <cellStyle name="Normal 4 8 2 3" xfId="7681" xr:uid="{64900B18-B334-43F1-9B40-A685B25962DF}"/>
    <cellStyle name="Normal 4 8 2 4" xfId="3379" xr:uid="{43F6A435-1A20-4EDB-9214-C93DBD62C37E}"/>
    <cellStyle name="Normal 4 8 2 5" xfId="2550" xr:uid="{1DA83488-EDF3-46FF-BEE5-0228D5C03B7A}"/>
    <cellStyle name="Normal 4 8 2 6" xfId="1721" xr:uid="{044233F7-260C-482F-AB37-68FBE2C792E0}"/>
    <cellStyle name="Normal 4 8 3" xfId="3792" xr:uid="{49FF3239-9338-4852-BCD8-C291B48E6D99}"/>
    <cellStyle name="Normal 4 8 3 2" xfId="6021" xr:uid="{C20DEEDB-EC20-4B74-8B69-67F9127091A6}"/>
    <cellStyle name="Normal 4 8 3 2 2" xfId="10239" xr:uid="{BB43CCF0-00E4-4C1D-8656-2B21624074E3}"/>
    <cellStyle name="Normal 4 8 3 3" xfId="8094" xr:uid="{4AAD96E4-EA20-4FEE-99E7-6D5992E89AF4}"/>
    <cellStyle name="Normal 4 8 4" xfId="4205" xr:uid="{82F44A6B-8502-47D2-9E37-A188E0A19D92}"/>
    <cellStyle name="Normal 4 8 4 2" xfId="6434" xr:uid="{F960BF2A-69F8-44FB-A196-70BD12642732}"/>
    <cellStyle name="Normal 4 8 4 2 2" xfId="10652" xr:uid="{9A9C9327-987A-40B0-B13C-1978855E6C1B}"/>
    <cellStyle name="Normal 4 8 4 3" xfId="8507" xr:uid="{5CACF99C-1CD9-459C-A000-9F8708DF7467}"/>
    <cellStyle name="Normal 4 8 5" xfId="4618" xr:uid="{A710E2E5-FCF8-4265-9627-C518C1C8A4CA}"/>
    <cellStyle name="Normal 4 8 5 2" xfId="6847" xr:uid="{9EC3B6F2-509D-498A-AE23-D8470EDD01F7}"/>
    <cellStyle name="Normal 4 8 5 2 2" xfId="11065" xr:uid="{1AA69F2B-4A41-4114-A391-7F7AD833877E}"/>
    <cellStyle name="Normal 4 8 5 3" xfId="8920" xr:uid="{E936769A-54DD-4533-80D4-9C5CD81710CA}"/>
    <cellStyle name="Normal 4 8 6" xfId="5054" xr:uid="{947163AA-D7FD-49DD-AD39-61971D242D75}"/>
    <cellStyle name="Normal 4 8 6 2" xfId="9333" xr:uid="{C84D4CA7-6795-4846-9CB7-4C4767C953AF}"/>
    <cellStyle name="Normal 4 8 7" xfId="7268" xr:uid="{EF40F9A3-D5BA-46AD-A886-7FB6602ECE3E}"/>
    <cellStyle name="Normal 4 8 8" xfId="2964" xr:uid="{7E02E42C-3C8C-495F-853D-02AEA4F757AA}"/>
    <cellStyle name="Normal 4 8 9" xfId="2134" xr:uid="{E2F2C08A-8708-4965-BFD9-A786838F22AB}"/>
    <cellStyle name="Normal 4 9" xfId="7205" xr:uid="{0AAE2FDB-64C7-4751-B325-449FC0FF6994}"/>
    <cellStyle name="Normal 5" xfId="409" xr:uid="{00000000-0005-0000-0000-0000D2020000}"/>
    <cellStyle name="Normal 5 10" xfId="4206" xr:uid="{6AC66137-9955-495A-A32B-9E6872BF93DE}"/>
    <cellStyle name="Normal 5 10 2" xfId="6435" xr:uid="{2B2A9CA9-5C71-4805-A0B9-F985F50B00CF}"/>
    <cellStyle name="Normal 5 10 2 2" xfId="10653" xr:uid="{0E4E8733-314A-48D6-94EE-1ED59F9891A1}"/>
    <cellStyle name="Normal 5 10 3" xfId="8508" xr:uid="{2ADB3C8A-8782-4FDD-9326-AF9151260407}"/>
    <cellStyle name="Normal 5 11" xfId="4619" xr:uid="{0CF51C62-EE42-43BB-83C9-75A359127E83}"/>
    <cellStyle name="Normal 5 11 2" xfId="6848" xr:uid="{B28DF9F4-19B0-4FE8-8B20-DCD98A9A05E4}"/>
    <cellStyle name="Normal 5 11 2 2" xfId="11066" xr:uid="{31FDE8E8-57DB-4107-AD44-99B33528A953}"/>
    <cellStyle name="Normal 5 11 3" xfId="8921" xr:uid="{FBF98908-EA6F-4BBA-BA8E-CC2ADCD8D004}"/>
    <cellStyle name="Normal 5 12" xfId="5055" xr:uid="{318F02DC-6352-41AF-BF65-D921178F3A98}"/>
    <cellStyle name="Normal 5 12 2" xfId="9334" xr:uid="{CF23B6C1-4072-4580-A964-50AA06378349}"/>
    <cellStyle name="Normal 5 13" xfId="7269" xr:uid="{583622C4-5EE6-4046-AF41-07078A940632}"/>
    <cellStyle name="Normal 5 14" xfId="2965" xr:uid="{07EFB1EB-4756-44DA-BB9A-6C00A43FF2E9}"/>
    <cellStyle name="Normal 5 15" xfId="2135" xr:uid="{EB64FC6C-D303-4A4D-AAA0-1BC351A77DCD}"/>
    <cellStyle name="Normal 5 16" xfId="1306" xr:uid="{37056FD3-B047-4824-AD71-60FCD0398A98}"/>
    <cellStyle name="Normal 5 2" xfId="410" xr:uid="{00000000-0005-0000-0000-0000D3020000}"/>
    <cellStyle name="Normal 5 2 10" xfId="4620" xr:uid="{F788682D-F99C-4D48-BFFC-61463BFB3040}"/>
    <cellStyle name="Normal 5 2 10 2" xfId="6849" xr:uid="{E876C7BF-AB87-412F-9198-C26DD4EDA582}"/>
    <cellStyle name="Normal 5 2 10 2 2" xfId="11067" xr:uid="{557A2884-7D02-4153-BA2F-B81093A2971F}"/>
    <cellStyle name="Normal 5 2 10 3" xfId="8922" xr:uid="{396F228D-2881-40D7-823C-3D7E2E88AEC6}"/>
    <cellStyle name="Normal 5 2 11" xfId="5056" xr:uid="{DF376195-10FB-4FB7-9625-C5EF2651CAAD}"/>
    <cellStyle name="Normal 5 2 11 2" xfId="9335" xr:uid="{5DCACA8F-5EAD-4522-AB06-FE0F02EF7B02}"/>
    <cellStyle name="Normal 5 2 12" xfId="7270" xr:uid="{D75EE2CC-E47F-4E6B-97E5-76770C775313}"/>
    <cellStyle name="Normal 5 2 13" xfId="2966" xr:uid="{406CAE30-D8EF-4BEF-98BD-8D2C74F63ED8}"/>
    <cellStyle name="Normal 5 2 14" xfId="2136" xr:uid="{ED8F3965-BC80-46B0-971A-D8C7D2DEF79D}"/>
    <cellStyle name="Normal 5 2 15" xfId="1307" xr:uid="{30D1C634-983E-4F5A-B87E-1BEACE290469}"/>
    <cellStyle name="Normal 5 2 2" xfId="411" xr:uid="{00000000-0005-0000-0000-0000D4020000}"/>
    <cellStyle name="Normal 5 2 2 10" xfId="5057" xr:uid="{E8E98B8C-9D5B-4402-BDDC-CC866D07383A}"/>
    <cellStyle name="Normal 5 2 2 10 2" xfId="9336" xr:uid="{CE305BF7-286F-4D19-8BA8-178595FAAD08}"/>
    <cellStyle name="Normal 5 2 2 11" xfId="7271" xr:uid="{C7446AE5-8D6D-4CCA-A3B4-C1E11558BD8A}"/>
    <cellStyle name="Normal 5 2 2 12" xfId="2967" xr:uid="{68E37D2C-CC6C-412A-BE51-4607ECCC1D1B}"/>
    <cellStyle name="Normal 5 2 2 13" xfId="2137" xr:uid="{7DD40648-40D6-46F0-8C6B-0DC62761A74D}"/>
    <cellStyle name="Normal 5 2 2 14" xfId="1308" xr:uid="{AFF8C4E2-7760-4620-A015-136214C2840D}"/>
    <cellStyle name="Normal 5 2 2 2" xfId="412" xr:uid="{00000000-0005-0000-0000-0000D5020000}"/>
    <cellStyle name="Normal 5 2 2 2 10" xfId="7272" xr:uid="{779B397D-F7A2-4D2D-8FB1-EA6A3088F777}"/>
    <cellStyle name="Normal 5 2 2 2 11" xfId="2968" xr:uid="{E1FBA11D-5BFA-4139-9BD3-25FE00036BE9}"/>
    <cellStyle name="Normal 5 2 2 2 12" xfId="2138" xr:uid="{E9E85F2E-4999-456D-8189-01A8B651BF21}"/>
    <cellStyle name="Normal 5 2 2 2 13" xfId="1309" xr:uid="{A4C45C4A-191A-42F0-93A3-C394AD6886A6}"/>
    <cellStyle name="Normal 5 2 2 2 2" xfId="413" xr:uid="{00000000-0005-0000-0000-0000D6020000}"/>
    <cellStyle name="Normal 5 2 2 2 2 10" xfId="2969" xr:uid="{31FB6D09-A25B-46AC-94D7-A2450FAF5F25}"/>
    <cellStyle name="Normal 5 2 2 2 2 11" xfId="2139" xr:uid="{A43D87B7-A5A6-451B-A5B6-AC33AEFCFD18}"/>
    <cellStyle name="Normal 5 2 2 2 2 12" xfId="1310" xr:uid="{B9004918-4AF8-4CA3-83C5-B2FE8DB277B6}"/>
    <cellStyle name="Normal 5 2 2 2 2 2" xfId="414" xr:uid="{00000000-0005-0000-0000-0000D7020000}"/>
    <cellStyle name="Normal 5 2 2 2 2 2 10" xfId="2140" xr:uid="{9ED6F546-B1D4-4596-9C39-DEBB8DF6DDB7}"/>
    <cellStyle name="Normal 5 2 2 2 2 2 11" xfId="1311" xr:uid="{DB27A221-0464-4D74-8F7B-ED0B55D83680}"/>
    <cellStyle name="Normal 5 2 2 2 2 2 2" xfId="415" xr:uid="{00000000-0005-0000-0000-0000D8020000}"/>
    <cellStyle name="Normal 5 2 2 2 2 2 2 10" xfId="1312" xr:uid="{5EDE30FA-DC9A-4DE0-9993-928B9EF2A87F}"/>
    <cellStyle name="Normal 5 2 2 2 2 2 2 2" xfId="894" xr:uid="{00000000-0005-0000-0000-0000D9020000}"/>
    <cellStyle name="Normal 5 2 2 2 2 2 2 2 2" xfId="5615" xr:uid="{DFCB2D7B-D1B7-4DD4-B0E3-99F92B2DE86B}"/>
    <cellStyle name="Normal 5 2 2 2 2 2 2 2 2 2" xfId="9833" xr:uid="{0105BD54-5031-41B2-8E83-4C69F53FF051}"/>
    <cellStyle name="Normal 5 2 2 2 2 2 2 2 3" xfId="7688" xr:uid="{9DD249EF-5AD5-4FD8-A33E-7384E27FCCF2}"/>
    <cellStyle name="Normal 5 2 2 2 2 2 2 2 4" xfId="3386" xr:uid="{FCBB61AD-A848-461D-84DC-6483C20420A9}"/>
    <cellStyle name="Normal 5 2 2 2 2 2 2 2 5" xfId="2557" xr:uid="{3D2ABC23-4699-427E-ACA4-4CF0153FEFB5}"/>
    <cellStyle name="Normal 5 2 2 2 2 2 2 2 6" xfId="1728" xr:uid="{E4C1E139-2173-460F-A7EA-0563EDBB9245}"/>
    <cellStyle name="Normal 5 2 2 2 2 2 2 3" xfId="3799" xr:uid="{D6325930-D466-4B85-AC2F-7838CFE460F2}"/>
    <cellStyle name="Normal 5 2 2 2 2 2 2 3 2" xfId="6028" xr:uid="{3775664B-F214-4B73-902C-B2A66AD33956}"/>
    <cellStyle name="Normal 5 2 2 2 2 2 2 3 2 2" xfId="10246" xr:uid="{C5E19B65-D1BD-4419-ABEE-48D2E3A166D0}"/>
    <cellStyle name="Normal 5 2 2 2 2 2 2 3 3" xfId="8101" xr:uid="{D6552439-E41A-4682-818B-5432D864113E}"/>
    <cellStyle name="Normal 5 2 2 2 2 2 2 4" xfId="4212" xr:uid="{662A7241-E2A8-4A0D-824D-17626CCDA359}"/>
    <cellStyle name="Normal 5 2 2 2 2 2 2 4 2" xfId="6441" xr:uid="{E7E7EBD1-7201-49DE-BD1E-14CC279FBE77}"/>
    <cellStyle name="Normal 5 2 2 2 2 2 2 4 2 2" xfId="10659" xr:uid="{2F88B25C-D112-4714-94FD-F80065537DC4}"/>
    <cellStyle name="Normal 5 2 2 2 2 2 2 4 3" xfId="8514" xr:uid="{7E83E84E-0521-40B3-850F-40B88FCB2AF6}"/>
    <cellStyle name="Normal 5 2 2 2 2 2 2 5" xfId="4625" xr:uid="{93BDB536-AE57-4591-AD64-2ACD9896D6C1}"/>
    <cellStyle name="Normal 5 2 2 2 2 2 2 5 2" xfId="6854" xr:uid="{5A700226-0CDD-441D-B0C6-F7B78C85AE15}"/>
    <cellStyle name="Normal 5 2 2 2 2 2 2 5 2 2" xfId="11072" xr:uid="{70EDF2E8-1B40-44CC-804A-2126ADA19995}"/>
    <cellStyle name="Normal 5 2 2 2 2 2 2 5 3" xfId="8927" xr:uid="{1A8D6772-4046-4398-8468-964A60E4D9D3}"/>
    <cellStyle name="Normal 5 2 2 2 2 2 2 6" xfId="5061" xr:uid="{55B95E1D-E2D0-4EA6-AFAD-3279C9434BED}"/>
    <cellStyle name="Normal 5 2 2 2 2 2 2 6 2" xfId="9340" xr:uid="{D34E42F6-EA86-432B-BCA9-9ED410A6E1F8}"/>
    <cellStyle name="Normal 5 2 2 2 2 2 2 7" xfId="7275" xr:uid="{F1CD1042-248C-4C97-891F-6CB6DF88BD21}"/>
    <cellStyle name="Normal 5 2 2 2 2 2 2 8" xfId="2971" xr:uid="{0A4BAA84-71FF-490B-B174-B93F11D5F698}"/>
    <cellStyle name="Normal 5 2 2 2 2 2 2 9" xfId="2141" xr:uid="{29172154-9607-4CEB-A1F6-73532C64D09C}"/>
    <cellStyle name="Normal 5 2 2 2 2 2 3" xfId="893" xr:uid="{00000000-0005-0000-0000-0000DA020000}"/>
    <cellStyle name="Normal 5 2 2 2 2 2 3 2" xfId="5614" xr:uid="{ABB4B7D9-02EA-4D78-BA6D-91691452D472}"/>
    <cellStyle name="Normal 5 2 2 2 2 2 3 2 2" xfId="9832" xr:uid="{6BC1807B-2EED-4D47-A149-6D3350B6BF79}"/>
    <cellStyle name="Normal 5 2 2 2 2 2 3 3" xfId="7687" xr:uid="{98A46BB1-B182-49C6-9D5E-8965BB3BFC85}"/>
    <cellStyle name="Normal 5 2 2 2 2 2 3 4" xfId="3385" xr:uid="{914A48BD-9252-4661-A9B0-67FB0B7E8FFB}"/>
    <cellStyle name="Normal 5 2 2 2 2 2 3 5" xfId="2556" xr:uid="{867ABC13-DBB0-49D5-8686-F47AC469C2BF}"/>
    <cellStyle name="Normal 5 2 2 2 2 2 3 6" xfId="1727" xr:uid="{AA9C93A6-4E6E-4E09-A90A-9D0F1A93BE77}"/>
    <cellStyle name="Normal 5 2 2 2 2 2 4" xfId="3798" xr:uid="{EA9ED72A-D98F-44B3-B9AE-686D23F9036B}"/>
    <cellStyle name="Normal 5 2 2 2 2 2 4 2" xfId="6027" xr:uid="{54119999-05CD-49EF-A50A-8818799EB760}"/>
    <cellStyle name="Normal 5 2 2 2 2 2 4 2 2" xfId="10245" xr:uid="{F0DAD4F5-8BA0-409B-8976-5708DF8ACCA3}"/>
    <cellStyle name="Normal 5 2 2 2 2 2 4 3" xfId="8100" xr:uid="{04C9C394-5EB4-4CAB-9FF3-A74300584CDF}"/>
    <cellStyle name="Normal 5 2 2 2 2 2 5" xfId="4211" xr:uid="{CCCF7673-0D2B-4920-91C2-8808BB9D6C75}"/>
    <cellStyle name="Normal 5 2 2 2 2 2 5 2" xfId="6440" xr:uid="{A922A8AA-684D-410B-BB5E-B46BB6E77A4E}"/>
    <cellStyle name="Normal 5 2 2 2 2 2 5 2 2" xfId="10658" xr:uid="{7ABF9849-7E5C-4058-B069-FB7D81386915}"/>
    <cellStyle name="Normal 5 2 2 2 2 2 5 3" xfId="8513" xr:uid="{BEC38334-CA98-4AF9-8405-3B18107FFC0C}"/>
    <cellStyle name="Normal 5 2 2 2 2 2 6" xfId="4624" xr:uid="{F63B9DD8-0C2E-463B-B737-B3DCDAB5891A}"/>
    <cellStyle name="Normal 5 2 2 2 2 2 6 2" xfId="6853" xr:uid="{12FD5A1D-EB35-480A-866D-38D16AB2F8BD}"/>
    <cellStyle name="Normal 5 2 2 2 2 2 6 2 2" xfId="11071" xr:uid="{99DE1DDC-0CBD-4727-9421-86B76DE03B7B}"/>
    <cellStyle name="Normal 5 2 2 2 2 2 6 3" xfId="8926" xr:uid="{4C28DEDE-0DE9-4883-B8D8-331B62856454}"/>
    <cellStyle name="Normal 5 2 2 2 2 2 7" xfId="5060" xr:uid="{29610FE8-E2AC-4855-AA96-D3C757FF2B52}"/>
    <cellStyle name="Normal 5 2 2 2 2 2 7 2" xfId="9339" xr:uid="{E49325F2-7E27-4B01-AA5B-181389DD0B9E}"/>
    <cellStyle name="Normal 5 2 2 2 2 2 8" xfId="7274" xr:uid="{869FC965-80A0-4155-8429-F2F4622E138F}"/>
    <cellStyle name="Normal 5 2 2 2 2 2 9" xfId="2970" xr:uid="{FBD64103-05D5-46C5-BC36-4A934CB3B548}"/>
    <cellStyle name="Normal 5 2 2 2 2 3" xfId="416" xr:uid="{00000000-0005-0000-0000-0000DB020000}"/>
    <cellStyle name="Normal 5 2 2 2 2 3 10" xfId="1313" xr:uid="{DDDDCD50-CDFB-4CCF-8824-D820BCD5CA77}"/>
    <cellStyle name="Normal 5 2 2 2 2 3 2" xfId="895" xr:uid="{00000000-0005-0000-0000-0000DC020000}"/>
    <cellStyle name="Normal 5 2 2 2 2 3 2 2" xfId="5616" xr:uid="{D1E72104-BB2D-4E65-B150-988322EBEC85}"/>
    <cellStyle name="Normal 5 2 2 2 2 3 2 2 2" xfId="9834" xr:uid="{9DF1155D-7F97-4317-9EC3-7BBE1B3EE315}"/>
    <cellStyle name="Normal 5 2 2 2 2 3 2 3" xfId="7689" xr:uid="{D2493D22-D42E-4B16-BC9F-DD96F6364906}"/>
    <cellStyle name="Normal 5 2 2 2 2 3 2 4" xfId="3387" xr:uid="{596CD7E3-A040-40A0-995E-2B8E0E98F242}"/>
    <cellStyle name="Normal 5 2 2 2 2 3 2 5" xfId="2558" xr:uid="{08AC59F0-FC92-430F-8968-2D08CC73D222}"/>
    <cellStyle name="Normal 5 2 2 2 2 3 2 6" xfId="1729" xr:uid="{EF9DBF66-64C2-4DAC-912A-5AD2DE8728FC}"/>
    <cellStyle name="Normal 5 2 2 2 2 3 3" xfId="3800" xr:uid="{DEFECBEB-4BD6-42EA-BA8D-2C9C322C4087}"/>
    <cellStyle name="Normal 5 2 2 2 2 3 3 2" xfId="6029" xr:uid="{33F3A096-58E1-4BD7-AE9E-3AEE57795024}"/>
    <cellStyle name="Normal 5 2 2 2 2 3 3 2 2" xfId="10247" xr:uid="{48305399-3B97-4864-B9C4-3E45372E4185}"/>
    <cellStyle name="Normal 5 2 2 2 2 3 3 3" xfId="8102" xr:uid="{9A6E6F26-28CF-4ADD-9114-F1AD489AF5D3}"/>
    <cellStyle name="Normal 5 2 2 2 2 3 4" xfId="4213" xr:uid="{A4D1D994-16D2-48C5-92BB-B167CED62C24}"/>
    <cellStyle name="Normal 5 2 2 2 2 3 4 2" xfId="6442" xr:uid="{1A422FDF-864E-4ECE-972F-49D366879CF6}"/>
    <cellStyle name="Normal 5 2 2 2 2 3 4 2 2" xfId="10660" xr:uid="{82BF8299-8591-4B66-A011-34E4CF2452A3}"/>
    <cellStyle name="Normal 5 2 2 2 2 3 4 3" xfId="8515" xr:uid="{CCB40674-60A2-4D52-BA69-7139D7737508}"/>
    <cellStyle name="Normal 5 2 2 2 2 3 5" xfId="4626" xr:uid="{E7917D14-CF64-4876-9C02-CDACB62FA36C}"/>
    <cellStyle name="Normal 5 2 2 2 2 3 5 2" xfId="6855" xr:uid="{AFDD9847-4C0D-48C1-A8FB-81ACDF89D37E}"/>
    <cellStyle name="Normal 5 2 2 2 2 3 5 2 2" xfId="11073" xr:uid="{15DBAE20-AECE-4F70-919B-9E721B2A6CCF}"/>
    <cellStyle name="Normal 5 2 2 2 2 3 5 3" xfId="8928" xr:uid="{B51DCC7C-DAFF-4CDF-AB7B-10C732CBDDDC}"/>
    <cellStyle name="Normal 5 2 2 2 2 3 6" xfId="5062" xr:uid="{400ABF02-7B8F-4E47-A1F9-9211BBD65E9D}"/>
    <cellStyle name="Normal 5 2 2 2 2 3 6 2" xfId="9341" xr:uid="{372771D7-10CB-4D9D-B657-36A0DEAD954F}"/>
    <cellStyle name="Normal 5 2 2 2 2 3 7" xfId="7276" xr:uid="{EBA87E47-BD6C-41D3-B4A6-7742D3923262}"/>
    <cellStyle name="Normal 5 2 2 2 2 3 8" xfId="2972" xr:uid="{0A740449-0992-479B-89BA-0CA5A6692B07}"/>
    <cellStyle name="Normal 5 2 2 2 2 3 9" xfId="2142" xr:uid="{B1EB6541-8D4D-4431-9086-D9B0A1048DCE}"/>
    <cellStyle name="Normal 5 2 2 2 2 4" xfId="892" xr:uid="{00000000-0005-0000-0000-0000DD020000}"/>
    <cellStyle name="Normal 5 2 2 2 2 4 2" xfId="5613" xr:uid="{BBFF1B3B-F196-48CC-91CA-17B0E51D8B6A}"/>
    <cellStyle name="Normal 5 2 2 2 2 4 2 2" xfId="9831" xr:uid="{F4AC081C-FA91-4E35-845C-AE51A32E6C66}"/>
    <cellStyle name="Normal 5 2 2 2 2 4 3" xfId="7686" xr:uid="{A3A9B38C-FA81-4B2F-8CC7-887285383341}"/>
    <cellStyle name="Normal 5 2 2 2 2 4 4" xfId="3384" xr:uid="{5ADE87AA-51BC-4326-A21C-3C0997C37ECF}"/>
    <cellStyle name="Normal 5 2 2 2 2 4 5" xfId="2555" xr:uid="{2D3187D1-E33D-41E7-B3BC-722529449941}"/>
    <cellStyle name="Normal 5 2 2 2 2 4 6" xfId="1726" xr:uid="{ED7AE4C3-CE1B-41BD-8E84-467209CBA36A}"/>
    <cellStyle name="Normal 5 2 2 2 2 5" xfId="3797" xr:uid="{9D56B0DD-3FC9-42F8-A512-53294A75F26F}"/>
    <cellStyle name="Normal 5 2 2 2 2 5 2" xfId="6026" xr:uid="{889BF7D4-40BE-49B8-B459-3979729C7EA3}"/>
    <cellStyle name="Normal 5 2 2 2 2 5 2 2" xfId="10244" xr:uid="{38229A16-44BD-4E88-8105-75CA525F3CF5}"/>
    <cellStyle name="Normal 5 2 2 2 2 5 3" xfId="8099" xr:uid="{3C599CD7-92D8-4F9E-8BE3-701377312095}"/>
    <cellStyle name="Normal 5 2 2 2 2 6" xfId="4210" xr:uid="{D038F451-DF7C-4D49-8E9E-69C7A8B17934}"/>
    <cellStyle name="Normal 5 2 2 2 2 6 2" xfId="6439" xr:uid="{C783E4D3-C710-4B1E-BA7D-F70A04B20D4D}"/>
    <cellStyle name="Normal 5 2 2 2 2 6 2 2" xfId="10657" xr:uid="{78118D0A-D09B-4B79-956D-65FE76ADECE9}"/>
    <cellStyle name="Normal 5 2 2 2 2 6 3" xfId="8512" xr:uid="{F668A641-6A24-45F8-A4CB-F1DA62ECD45B}"/>
    <cellStyle name="Normal 5 2 2 2 2 7" xfId="4623" xr:uid="{42749A14-599A-40FF-978C-612A2700EC87}"/>
    <cellStyle name="Normal 5 2 2 2 2 7 2" xfId="6852" xr:uid="{E0C92B3A-42EC-44BF-B1E3-75ACE5ECD65E}"/>
    <cellStyle name="Normal 5 2 2 2 2 7 2 2" xfId="11070" xr:uid="{A8B84BA6-02A6-4896-862C-1618D1268193}"/>
    <cellStyle name="Normal 5 2 2 2 2 7 3" xfId="8925" xr:uid="{AFEFB31D-4DC5-48DC-8087-1DE8162F5AC9}"/>
    <cellStyle name="Normal 5 2 2 2 2 8" xfId="5059" xr:uid="{D0870461-ADEC-4E83-B4D7-5C86FF534233}"/>
    <cellStyle name="Normal 5 2 2 2 2 8 2" xfId="9338" xr:uid="{63DB79D2-B599-4766-9F45-90A72FC03079}"/>
    <cellStyle name="Normal 5 2 2 2 2 9" xfId="7273" xr:uid="{D5DA35C9-DFD9-44E0-ACBC-CF4DD95E306D}"/>
    <cellStyle name="Normal 5 2 2 2 3" xfId="417" xr:uid="{00000000-0005-0000-0000-0000DE020000}"/>
    <cellStyle name="Normal 5 2 2 2 3 10" xfId="2143" xr:uid="{25CD60F2-7940-4DD9-9D4A-5B3B35A76A82}"/>
    <cellStyle name="Normal 5 2 2 2 3 11" xfId="1314" xr:uid="{0E9E0985-CD1B-4CD8-B2C0-FE43078129F6}"/>
    <cellStyle name="Normal 5 2 2 2 3 2" xfId="418" xr:uid="{00000000-0005-0000-0000-0000DF020000}"/>
    <cellStyle name="Normal 5 2 2 2 3 2 10" xfId="1315" xr:uid="{BE2FFA76-00B4-4946-90DE-FA516A871553}"/>
    <cellStyle name="Normal 5 2 2 2 3 2 2" xfId="897" xr:uid="{00000000-0005-0000-0000-0000E0020000}"/>
    <cellStyle name="Normal 5 2 2 2 3 2 2 2" xfId="5618" xr:uid="{824D56CF-01FF-42F9-B88E-9AA0DADA7345}"/>
    <cellStyle name="Normal 5 2 2 2 3 2 2 2 2" xfId="9836" xr:uid="{82800BFE-C281-4010-9378-A6B30DF20C7E}"/>
    <cellStyle name="Normal 5 2 2 2 3 2 2 3" xfId="7691" xr:uid="{423579BC-4DAE-422B-9B79-F1D6AFB45EFE}"/>
    <cellStyle name="Normal 5 2 2 2 3 2 2 4" xfId="3389" xr:uid="{4D6E148F-DAA8-453C-B559-4935DFFA0751}"/>
    <cellStyle name="Normal 5 2 2 2 3 2 2 5" xfId="2560" xr:uid="{85E3B192-56ED-4783-9A09-A47961AD37D8}"/>
    <cellStyle name="Normal 5 2 2 2 3 2 2 6" xfId="1731" xr:uid="{86C4EA9F-3B2E-41B1-87D8-71FD57C80E1C}"/>
    <cellStyle name="Normal 5 2 2 2 3 2 3" xfId="3802" xr:uid="{5034E512-52FC-4A0F-ADE2-8E715942FA98}"/>
    <cellStyle name="Normal 5 2 2 2 3 2 3 2" xfId="6031" xr:uid="{BF8D5037-5E24-4272-9341-40213ABF544F}"/>
    <cellStyle name="Normal 5 2 2 2 3 2 3 2 2" xfId="10249" xr:uid="{A0F88803-CA2C-41C6-BB85-82E01CFCA901}"/>
    <cellStyle name="Normal 5 2 2 2 3 2 3 3" xfId="8104" xr:uid="{CDFF2B81-9840-4ECB-9EB5-CD186974AF49}"/>
    <cellStyle name="Normal 5 2 2 2 3 2 4" xfId="4215" xr:uid="{3724E154-989D-432F-8F2B-28C2931A2DD3}"/>
    <cellStyle name="Normal 5 2 2 2 3 2 4 2" xfId="6444" xr:uid="{257DB790-BDD2-4142-9BEA-FF80641C9C72}"/>
    <cellStyle name="Normal 5 2 2 2 3 2 4 2 2" xfId="10662" xr:uid="{B407247D-0A1C-4DDD-A4F9-2B6592807B7E}"/>
    <cellStyle name="Normal 5 2 2 2 3 2 4 3" xfId="8517" xr:uid="{66CB6737-1D09-46D8-93D5-BBFA4D869525}"/>
    <cellStyle name="Normal 5 2 2 2 3 2 5" xfId="4628" xr:uid="{B6C54C1C-427F-42DC-AF63-C5029BD774CF}"/>
    <cellStyle name="Normal 5 2 2 2 3 2 5 2" xfId="6857" xr:uid="{C146842D-E67E-401E-96FF-BDE9CA40AC79}"/>
    <cellStyle name="Normal 5 2 2 2 3 2 5 2 2" xfId="11075" xr:uid="{8CBBE838-E776-414E-8A91-BF186F58BCB9}"/>
    <cellStyle name="Normal 5 2 2 2 3 2 5 3" xfId="8930" xr:uid="{F940FB2B-A5DC-46AA-B8A3-5E5C57A87CB3}"/>
    <cellStyle name="Normal 5 2 2 2 3 2 6" xfId="5064" xr:uid="{616401E3-80CF-414D-948E-33F4CB4AC127}"/>
    <cellStyle name="Normal 5 2 2 2 3 2 6 2" xfId="9343" xr:uid="{2B4C0E0F-B25E-46D5-83E0-9F506C059CFF}"/>
    <cellStyle name="Normal 5 2 2 2 3 2 7" xfId="7278" xr:uid="{D2814E55-D6A3-4BC4-839F-B3AD85EA6B8A}"/>
    <cellStyle name="Normal 5 2 2 2 3 2 8" xfId="2974" xr:uid="{8D6932B7-559D-4DC0-843D-7BA18BCE1EDE}"/>
    <cellStyle name="Normal 5 2 2 2 3 2 9" xfId="2144" xr:uid="{35FE05E9-297F-4892-80DD-6DD72F7EC9DB}"/>
    <cellStyle name="Normal 5 2 2 2 3 3" xfId="896" xr:uid="{00000000-0005-0000-0000-0000E1020000}"/>
    <cellStyle name="Normal 5 2 2 2 3 3 2" xfId="5617" xr:uid="{2D24F64A-C3AF-44DF-9805-799FE6B7F179}"/>
    <cellStyle name="Normal 5 2 2 2 3 3 2 2" xfId="9835" xr:uid="{37CE068A-A53C-4F4D-B801-646B92820938}"/>
    <cellStyle name="Normal 5 2 2 2 3 3 3" xfId="7690" xr:uid="{88B6D37B-1105-490C-AE2C-FB7B915F5B86}"/>
    <cellStyle name="Normal 5 2 2 2 3 3 4" xfId="3388" xr:uid="{89DEF538-113D-40EB-9BC3-C2FFACBAE422}"/>
    <cellStyle name="Normal 5 2 2 2 3 3 5" xfId="2559" xr:uid="{29489CFC-005A-4C84-9361-7D2A23555A26}"/>
    <cellStyle name="Normal 5 2 2 2 3 3 6" xfId="1730" xr:uid="{E5EE0CC0-C130-45A5-9705-8660BD8F2122}"/>
    <cellStyle name="Normal 5 2 2 2 3 4" xfId="3801" xr:uid="{903F9047-2051-43E8-9339-91E4FB128EE0}"/>
    <cellStyle name="Normal 5 2 2 2 3 4 2" xfId="6030" xr:uid="{83808B64-583B-4C91-93B3-4D86C4ADB4D7}"/>
    <cellStyle name="Normal 5 2 2 2 3 4 2 2" xfId="10248" xr:uid="{684B8555-2A59-4051-A094-5B72A54AC58F}"/>
    <cellStyle name="Normal 5 2 2 2 3 4 3" xfId="8103" xr:uid="{5CD18A83-3C9E-4677-BA2E-1677D1432A73}"/>
    <cellStyle name="Normal 5 2 2 2 3 5" xfId="4214" xr:uid="{95987972-39D6-4B8D-8D5A-0560B876EA99}"/>
    <cellStyle name="Normal 5 2 2 2 3 5 2" xfId="6443" xr:uid="{1823C1A4-8545-4FAE-8678-7A5FEAAF0A67}"/>
    <cellStyle name="Normal 5 2 2 2 3 5 2 2" xfId="10661" xr:uid="{6E96EF03-565B-4090-AFC4-4B0E807888D6}"/>
    <cellStyle name="Normal 5 2 2 2 3 5 3" xfId="8516" xr:uid="{52FDBF67-C52F-496D-9A9C-1BEE45DFE6E0}"/>
    <cellStyle name="Normal 5 2 2 2 3 6" xfId="4627" xr:uid="{93B90531-CE6D-4302-A967-885432243473}"/>
    <cellStyle name="Normal 5 2 2 2 3 6 2" xfId="6856" xr:uid="{8133DAFE-9D7E-4013-B627-0DB3F7CEA1C5}"/>
    <cellStyle name="Normal 5 2 2 2 3 6 2 2" xfId="11074" xr:uid="{F170A22C-95D8-4DBB-A6E8-E7DB34F098C7}"/>
    <cellStyle name="Normal 5 2 2 2 3 6 3" xfId="8929" xr:uid="{27E58AFD-F15D-4E36-AF9B-28C72540B3C3}"/>
    <cellStyle name="Normal 5 2 2 2 3 7" xfId="5063" xr:uid="{C6B09FD3-0134-4170-B8C8-5640CEF08490}"/>
    <cellStyle name="Normal 5 2 2 2 3 7 2" xfId="9342" xr:uid="{818B3974-493B-433C-8B8D-EB8FE4E02533}"/>
    <cellStyle name="Normal 5 2 2 2 3 8" xfId="7277" xr:uid="{A406607E-7228-4FD9-8E27-ED71DE5B0E5C}"/>
    <cellStyle name="Normal 5 2 2 2 3 9" xfId="2973" xr:uid="{BAC66702-20F7-4BF8-8470-4B1C46DDC7DC}"/>
    <cellStyle name="Normal 5 2 2 2 4" xfId="419" xr:uid="{00000000-0005-0000-0000-0000E2020000}"/>
    <cellStyle name="Normal 5 2 2 2 4 10" xfId="1316" xr:uid="{C77FFA8E-2A15-43F4-AAAB-ED6195EDC72E}"/>
    <cellStyle name="Normal 5 2 2 2 4 2" xfId="898" xr:uid="{00000000-0005-0000-0000-0000E3020000}"/>
    <cellStyle name="Normal 5 2 2 2 4 2 2" xfId="5619" xr:uid="{CC686EFB-8E80-4BFC-A20E-5B64E27740C0}"/>
    <cellStyle name="Normal 5 2 2 2 4 2 2 2" xfId="9837" xr:uid="{84C3E9BC-279B-46E5-8605-18DEF178D503}"/>
    <cellStyle name="Normal 5 2 2 2 4 2 3" xfId="7692" xr:uid="{7871B70A-9116-416F-9A7F-0B04A1E1F29C}"/>
    <cellStyle name="Normal 5 2 2 2 4 2 4" xfId="3390" xr:uid="{EAC30B85-89A5-4525-9EEC-64C82A104378}"/>
    <cellStyle name="Normal 5 2 2 2 4 2 5" xfId="2561" xr:uid="{97A7F921-CC1B-4768-993B-E0F08E462769}"/>
    <cellStyle name="Normal 5 2 2 2 4 2 6" xfId="1732" xr:uid="{C9782A21-5444-4086-A600-FCC0258D09EA}"/>
    <cellStyle name="Normal 5 2 2 2 4 3" xfId="3803" xr:uid="{90616B15-F6EF-4B1D-9D85-60D5A7E7DE99}"/>
    <cellStyle name="Normal 5 2 2 2 4 3 2" xfId="6032" xr:uid="{9E586908-B9CE-4213-952D-D788C30F1B0D}"/>
    <cellStyle name="Normal 5 2 2 2 4 3 2 2" xfId="10250" xr:uid="{84DD95D0-C250-4CC8-A143-597A57FE76B6}"/>
    <cellStyle name="Normal 5 2 2 2 4 3 3" xfId="8105" xr:uid="{54A7D46A-1CE7-47CA-B98E-E1E00AEA4CB1}"/>
    <cellStyle name="Normal 5 2 2 2 4 4" xfId="4216" xr:uid="{EAA9CEBC-B203-428D-89DB-5B006940C7F0}"/>
    <cellStyle name="Normal 5 2 2 2 4 4 2" xfId="6445" xr:uid="{4276A06B-2D11-4BD2-B857-180836F38F94}"/>
    <cellStyle name="Normal 5 2 2 2 4 4 2 2" xfId="10663" xr:uid="{54EA81C5-FB4F-4424-8DF3-32AECE169054}"/>
    <cellStyle name="Normal 5 2 2 2 4 4 3" xfId="8518" xr:uid="{3B7C6038-7789-4129-BB84-4701AB54A8D2}"/>
    <cellStyle name="Normal 5 2 2 2 4 5" xfId="4629" xr:uid="{8D728134-78AE-4805-9F48-2E4324F7650E}"/>
    <cellStyle name="Normal 5 2 2 2 4 5 2" xfId="6858" xr:uid="{EE6A15AA-5BA5-477E-99E7-4B3AF55DBDEA}"/>
    <cellStyle name="Normal 5 2 2 2 4 5 2 2" xfId="11076" xr:uid="{DA59CCEC-1BCD-452B-B7BD-7F924D40596B}"/>
    <cellStyle name="Normal 5 2 2 2 4 5 3" xfId="8931" xr:uid="{5A3C80FA-1D0F-4C1C-87DC-8A1B63C5D29A}"/>
    <cellStyle name="Normal 5 2 2 2 4 6" xfId="5065" xr:uid="{34DC2101-1990-4D7F-B758-5D4900C9B238}"/>
    <cellStyle name="Normal 5 2 2 2 4 6 2" xfId="9344" xr:uid="{D5B90FB7-9BF1-4BBD-8359-AB2EA2267449}"/>
    <cellStyle name="Normal 5 2 2 2 4 7" xfId="7279" xr:uid="{E9BD2ED3-B5A2-43A4-9DF3-4EF316A2F916}"/>
    <cellStyle name="Normal 5 2 2 2 4 8" xfId="2975" xr:uid="{64939C58-BB2F-4D00-AE65-767EC3B8584A}"/>
    <cellStyle name="Normal 5 2 2 2 4 9" xfId="2145" xr:uid="{AF35BE5F-C0E8-4EBA-A89C-F2C21BF47018}"/>
    <cellStyle name="Normal 5 2 2 2 5" xfId="891" xr:uid="{00000000-0005-0000-0000-0000E4020000}"/>
    <cellStyle name="Normal 5 2 2 2 5 2" xfId="5612" xr:uid="{3E582C2D-419C-4AF8-AE90-EA106C4AEE3E}"/>
    <cellStyle name="Normal 5 2 2 2 5 2 2" xfId="9830" xr:uid="{A1D0D70E-B9AC-47B1-8D00-B8DF3A5BA876}"/>
    <cellStyle name="Normal 5 2 2 2 5 3" xfId="7685" xr:uid="{DA55D7DB-C564-48AE-9914-023222EE5C27}"/>
    <cellStyle name="Normal 5 2 2 2 5 4" xfId="3383" xr:uid="{36D37C12-A01F-4FE2-9B88-EFEF772A9D52}"/>
    <cellStyle name="Normal 5 2 2 2 5 5" xfId="2554" xr:uid="{E02248AB-CD2D-4958-84AD-C64228F9D7BA}"/>
    <cellStyle name="Normal 5 2 2 2 5 6" xfId="1725" xr:uid="{D5F509FB-C179-4C1C-BE1F-9A289983B1C2}"/>
    <cellStyle name="Normal 5 2 2 2 6" xfId="3796" xr:uid="{BC1DB0EB-B3D5-4E6E-A824-36B4CA90C8C3}"/>
    <cellStyle name="Normal 5 2 2 2 6 2" xfId="6025" xr:uid="{BB012ABB-0F9B-40D7-8211-08F6A5C4168F}"/>
    <cellStyle name="Normal 5 2 2 2 6 2 2" xfId="10243" xr:uid="{89516ECF-3201-4867-B22F-9794D11DEADC}"/>
    <cellStyle name="Normal 5 2 2 2 6 3" xfId="8098" xr:uid="{68062AB9-33C5-40EC-925C-CCDB1795B62B}"/>
    <cellStyle name="Normal 5 2 2 2 7" xfId="4209" xr:uid="{D2D59B02-A412-4AAF-BF5E-9DE4437499AB}"/>
    <cellStyle name="Normal 5 2 2 2 7 2" xfId="6438" xr:uid="{63234DB6-ECC4-40EA-BACE-6F95FCDB2771}"/>
    <cellStyle name="Normal 5 2 2 2 7 2 2" xfId="10656" xr:uid="{771E69F7-F660-4509-AEB2-E06CB2808282}"/>
    <cellStyle name="Normal 5 2 2 2 7 3" xfId="8511" xr:uid="{6086C74A-0642-4B9D-8399-81053C75CC2C}"/>
    <cellStyle name="Normal 5 2 2 2 8" xfId="4622" xr:uid="{7773AD42-6BBE-4E54-933A-CE4FCABC8648}"/>
    <cellStyle name="Normal 5 2 2 2 8 2" xfId="6851" xr:uid="{69A00798-717F-4485-B780-19535F1C9766}"/>
    <cellStyle name="Normal 5 2 2 2 8 2 2" xfId="11069" xr:uid="{C3E5A3B2-81D3-439A-A126-949D2E428EF6}"/>
    <cellStyle name="Normal 5 2 2 2 8 3" xfId="8924" xr:uid="{D75F1AB1-D61F-46C1-92DD-6BC6E86BD79B}"/>
    <cellStyle name="Normal 5 2 2 2 9" xfId="5058" xr:uid="{4CCAE2EC-68D5-4AAC-B776-D418ACB45D7A}"/>
    <cellStyle name="Normal 5 2 2 2 9 2" xfId="9337" xr:uid="{EC14CB5A-FA44-4B0E-B97F-AC98E45D88FB}"/>
    <cellStyle name="Normal 5 2 2 3" xfId="420" xr:uid="{00000000-0005-0000-0000-0000E5020000}"/>
    <cellStyle name="Normal 5 2 2 3 10" xfId="2976" xr:uid="{A9D7785B-583D-4110-999D-58707D607870}"/>
    <cellStyle name="Normal 5 2 2 3 11" xfId="2146" xr:uid="{77C0FB8A-7362-4A3E-9194-95EF76F9D646}"/>
    <cellStyle name="Normal 5 2 2 3 12" xfId="1317" xr:uid="{9045AA30-8FAC-4680-AFE4-5803DCD60BBB}"/>
    <cellStyle name="Normal 5 2 2 3 2" xfId="421" xr:uid="{00000000-0005-0000-0000-0000E6020000}"/>
    <cellStyle name="Normal 5 2 2 3 2 10" xfId="2147" xr:uid="{15409A71-8444-49D6-8E53-E2DD98D45893}"/>
    <cellStyle name="Normal 5 2 2 3 2 11" xfId="1318" xr:uid="{9F2FD625-51DD-4DE2-BE7C-1AE179FD9313}"/>
    <cellStyle name="Normal 5 2 2 3 2 2" xfId="422" xr:uid="{00000000-0005-0000-0000-0000E7020000}"/>
    <cellStyle name="Normal 5 2 2 3 2 2 10" xfId="1319" xr:uid="{83331D06-59C0-4256-B2ED-670DB7D57047}"/>
    <cellStyle name="Normal 5 2 2 3 2 2 2" xfId="901" xr:uid="{00000000-0005-0000-0000-0000E8020000}"/>
    <cellStyle name="Normal 5 2 2 3 2 2 2 2" xfId="5622" xr:uid="{F66DE5E8-F5DE-4521-A534-50EEAE71B73A}"/>
    <cellStyle name="Normal 5 2 2 3 2 2 2 2 2" xfId="9840" xr:uid="{6BA2702E-2993-4741-8617-BAC530672BB0}"/>
    <cellStyle name="Normal 5 2 2 3 2 2 2 3" xfId="7695" xr:uid="{854975EB-5388-4D6F-BFCC-8737DECD0716}"/>
    <cellStyle name="Normal 5 2 2 3 2 2 2 4" xfId="3393" xr:uid="{21CC9F19-486D-4CED-82D1-191C6B1FF814}"/>
    <cellStyle name="Normal 5 2 2 3 2 2 2 5" xfId="2564" xr:uid="{60A9EB1D-B759-4FDB-BDF3-440D608A8E71}"/>
    <cellStyle name="Normal 5 2 2 3 2 2 2 6" xfId="1735" xr:uid="{39FD989C-E48A-41ED-B513-753CF9C41F42}"/>
    <cellStyle name="Normal 5 2 2 3 2 2 3" xfId="3806" xr:uid="{33AFF79B-1EEA-4D50-831D-6C5A82924A30}"/>
    <cellStyle name="Normal 5 2 2 3 2 2 3 2" xfId="6035" xr:uid="{1832D81D-6652-4545-B373-4BDA9F5BF167}"/>
    <cellStyle name="Normal 5 2 2 3 2 2 3 2 2" xfId="10253" xr:uid="{F7701B64-B6AC-4C82-806D-B4D5C73AAAA8}"/>
    <cellStyle name="Normal 5 2 2 3 2 2 3 3" xfId="8108" xr:uid="{6474337E-9FB6-4764-A1A2-598326969342}"/>
    <cellStyle name="Normal 5 2 2 3 2 2 4" xfId="4219" xr:uid="{915BB291-5C41-4952-9E89-68616A703CEE}"/>
    <cellStyle name="Normal 5 2 2 3 2 2 4 2" xfId="6448" xr:uid="{7FCBEBF2-6B40-454F-9CDE-577F881E3C19}"/>
    <cellStyle name="Normal 5 2 2 3 2 2 4 2 2" xfId="10666" xr:uid="{0693E66F-CF28-4BE0-BD2F-5C34383C3A81}"/>
    <cellStyle name="Normal 5 2 2 3 2 2 4 3" xfId="8521" xr:uid="{D330FAE0-57B9-4B84-A5CE-9AB1E8975D74}"/>
    <cellStyle name="Normal 5 2 2 3 2 2 5" xfId="4632" xr:uid="{11563B5E-538B-403B-9B57-DBA68B077796}"/>
    <cellStyle name="Normal 5 2 2 3 2 2 5 2" xfId="6861" xr:uid="{692DC399-B285-4987-95C6-3C16FF60FDE7}"/>
    <cellStyle name="Normal 5 2 2 3 2 2 5 2 2" xfId="11079" xr:uid="{01EB0F92-A27F-4519-A295-93A147D869BB}"/>
    <cellStyle name="Normal 5 2 2 3 2 2 5 3" xfId="8934" xr:uid="{89934209-94B5-4F65-B7B4-814777FD7F15}"/>
    <cellStyle name="Normal 5 2 2 3 2 2 6" xfId="5068" xr:uid="{49261F3D-4664-4DEF-B848-FD9AC1EE5BED}"/>
    <cellStyle name="Normal 5 2 2 3 2 2 6 2" xfId="9347" xr:uid="{66385186-04DF-4521-9793-23F9D1A4DC83}"/>
    <cellStyle name="Normal 5 2 2 3 2 2 7" xfId="7282" xr:uid="{5BBBB199-EB17-4E4C-9C66-60AADC85A59A}"/>
    <cellStyle name="Normal 5 2 2 3 2 2 8" xfId="2978" xr:uid="{2C1FA567-E32C-4DE4-9C6E-2920FB92465A}"/>
    <cellStyle name="Normal 5 2 2 3 2 2 9" xfId="2148" xr:uid="{319CB2C7-1444-41A3-B3DD-DEEECAD6A452}"/>
    <cellStyle name="Normal 5 2 2 3 2 3" xfId="900" xr:uid="{00000000-0005-0000-0000-0000E9020000}"/>
    <cellStyle name="Normal 5 2 2 3 2 3 2" xfId="5621" xr:uid="{BEDA76A3-AB65-4E6C-BA6A-960F63CC9DAA}"/>
    <cellStyle name="Normal 5 2 2 3 2 3 2 2" xfId="9839" xr:uid="{C04D39D9-117C-4EE8-8CE3-AE93E0B7813E}"/>
    <cellStyle name="Normal 5 2 2 3 2 3 3" xfId="7694" xr:uid="{034247F0-60D3-4629-9938-16C2FCDE7251}"/>
    <cellStyle name="Normal 5 2 2 3 2 3 4" xfId="3392" xr:uid="{CB6E5E5C-3B9A-4715-8988-15CF907C4036}"/>
    <cellStyle name="Normal 5 2 2 3 2 3 5" xfId="2563" xr:uid="{6107CD35-1C27-4A45-B162-4CA5C52C87FC}"/>
    <cellStyle name="Normal 5 2 2 3 2 3 6" xfId="1734" xr:uid="{6AD84A19-BCCA-418B-B50D-4C608D1252D7}"/>
    <cellStyle name="Normal 5 2 2 3 2 4" xfId="3805" xr:uid="{89C72869-7A46-4C90-94DB-854FE658500B}"/>
    <cellStyle name="Normal 5 2 2 3 2 4 2" xfId="6034" xr:uid="{EB3CF7B0-0EA3-49D7-9C14-667132ACBC43}"/>
    <cellStyle name="Normal 5 2 2 3 2 4 2 2" xfId="10252" xr:uid="{0299E4D8-F3AD-4EC4-9BEA-FAD60D33A27E}"/>
    <cellStyle name="Normal 5 2 2 3 2 4 3" xfId="8107" xr:uid="{1A1DD066-DD73-44AF-8CAF-630F8766B243}"/>
    <cellStyle name="Normal 5 2 2 3 2 5" xfId="4218" xr:uid="{9DBBB8C4-5184-473E-8BF1-179BF9AA0127}"/>
    <cellStyle name="Normal 5 2 2 3 2 5 2" xfId="6447" xr:uid="{0D86D6B8-1BAE-4BC1-A6D0-A9BEDD3A6D47}"/>
    <cellStyle name="Normal 5 2 2 3 2 5 2 2" xfId="10665" xr:uid="{5F543F1D-B4CB-49FA-BC98-269460E26D3B}"/>
    <cellStyle name="Normal 5 2 2 3 2 5 3" xfId="8520" xr:uid="{E2AAE280-8135-4857-912A-F4ACC06FF7D0}"/>
    <cellStyle name="Normal 5 2 2 3 2 6" xfId="4631" xr:uid="{6B02E6AE-3D24-4F3A-B4A3-C3423D4E2BA8}"/>
    <cellStyle name="Normal 5 2 2 3 2 6 2" xfId="6860" xr:uid="{36DCBF7D-034D-43CD-BA3F-4E08E8B9FB45}"/>
    <cellStyle name="Normal 5 2 2 3 2 6 2 2" xfId="11078" xr:uid="{34E68EA1-4CB2-4597-B284-9F775890FF3C}"/>
    <cellStyle name="Normal 5 2 2 3 2 6 3" xfId="8933" xr:uid="{3DB62DF7-013B-4A58-A011-E6F450258BA6}"/>
    <cellStyle name="Normal 5 2 2 3 2 7" xfId="5067" xr:uid="{9CED5E66-7CBB-4994-B868-2F4F3FB26CA2}"/>
    <cellStyle name="Normal 5 2 2 3 2 7 2" xfId="9346" xr:uid="{E24ABC3F-01D8-4116-9AAA-7868D229DFC7}"/>
    <cellStyle name="Normal 5 2 2 3 2 8" xfId="7281" xr:uid="{AF71A536-E183-4A04-BFA7-2A65D152E9C5}"/>
    <cellStyle name="Normal 5 2 2 3 2 9" xfId="2977" xr:uid="{CF691056-98F8-4FC3-8EAE-0D75943F7B68}"/>
    <cellStyle name="Normal 5 2 2 3 3" xfId="423" xr:uid="{00000000-0005-0000-0000-0000EA020000}"/>
    <cellStyle name="Normal 5 2 2 3 3 10" xfId="1320" xr:uid="{D7D44961-C654-4419-A4D7-7B45A69807AD}"/>
    <cellStyle name="Normal 5 2 2 3 3 2" xfId="902" xr:uid="{00000000-0005-0000-0000-0000EB020000}"/>
    <cellStyle name="Normal 5 2 2 3 3 2 2" xfId="5623" xr:uid="{CF002EAF-2B1C-4626-92FC-89A773E7C676}"/>
    <cellStyle name="Normal 5 2 2 3 3 2 2 2" xfId="9841" xr:uid="{15F4AD13-74AF-447E-9F9D-2F97839F75BE}"/>
    <cellStyle name="Normal 5 2 2 3 3 2 3" xfId="7696" xr:uid="{0B851ABB-B91F-4447-B66B-6FFEFB667657}"/>
    <cellStyle name="Normal 5 2 2 3 3 2 4" xfId="3394" xr:uid="{A2518732-FB31-4B42-B382-6B8C6D538EF9}"/>
    <cellStyle name="Normal 5 2 2 3 3 2 5" xfId="2565" xr:uid="{48D77AE7-849E-4218-A66B-A032657A8A9E}"/>
    <cellStyle name="Normal 5 2 2 3 3 2 6" xfId="1736" xr:uid="{FEF7DED1-98FD-4672-A791-31CB99915CA7}"/>
    <cellStyle name="Normal 5 2 2 3 3 3" xfId="3807" xr:uid="{30E7D245-8F82-43E4-9989-F6811A2AF577}"/>
    <cellStyle name="Normal 5 2 2 3 3 3 2" xfId="6036" xr:uid="{AD37743A-9FAA-4C15-A115-8ADCCE5AAE36}"/>
    <cellStyle name="Normal 5 2 2 3 3 3 2 2" xfId="10254" xr:uid="{6A235F6F-F441-44E7-AEC5-CEEDA8E3E367}"/>
    <cellStyle name="Normal 5 2 2 3 3 3 3" xfId="8109" xr:uid="{B41F92B9-E744-4FE6-A92E-254D8DF4DBFC}"/>
    <cellStyle name="Normal 5 2 2 3 3 4" xfId="4220" xr:uid="{E0C0DE91-E6AC-4326-AC53-B5B610868885}"/>
    <cellStyle name="Normal 5 2 2 3 3 4 2" xfId="6449" xr:uid="{21539E61-D027-4E72-89BF-85DC85BD4C68}"/>
    <cellStyle name="Normal 5 2 2 3 3 4 2 2" xfId="10667" xr:uid="{C49C9D9B-2CFB-46E2-8A86-78E178EDE622}"/>
    <cellStyle name="Normal 5 2 2 3 3 4 3" xfId="8522" xr:uid="{EF3D6FE1-5D27-4A27-868A-25297108BBF9}"/>
    <cellStyle name="Normal 5 2 2 3 3 5" xfId="4633" xr:uid="{CE97ECC1-3003-44BD-B095-316AB68F2614}"/>
    <cellStyle name="Normal 5 2 2 3 3 5 2" xfId="6862" xr:uid="{635472B5-0855-4140-A718-B1F7FF44B31D}"/>
    <cellStyle name="Normal 5 2 2 3 3 5 2 2" xfId="11080" xr:uid="{D93192BD-19D9-4D46-B195-B7FA8AD9677A}"/>
    <cellStyle name="Normal 5 2 2 3 3 5 3" xfId="8935" xr:uid="{D118B9DF-23EB-4B60-B8B8-7D6D92F8F424}"/>
    <cellStyle name="Normal 5 2 2 3 3 6" xfId="5069" xr:uid="{4987E317-8377-4AD3-B701-D6794770BA20}"/>
    <cellStyle name="Normal 5 2 2 3 3 6 2" xfId="9348" xr:uid="{386F21EA-3EC0-438B-9273-F9F64249E679}"/>
    <cellStyle name="Normal 5 2 2 3 3 7" xfId="7283" xr:uid="{8966C46C-0279-4072-948E-31228D780F11}"/>
    <cellStyle name="Normal 5 2 2 3 3 8" xfId="2979" xr:uid="{452D730D-AAF7-41BC-B2C1-27D197C3BFD3}"/>
    <cellStyle name="Normal 5 2 2 3 3 9" xfId="2149" xr:uid="{67960A75-5EE3-4088-AC3D-2B3321590F5B}"/>
    <cellStyle name="Normal 5 2 2 3 4" xfId="899" xr:uid="{00000000-0005-0000-0000-0000EC020000}"/>
    <cellStyle name="Normal 5 2 2 3 4 2" xfId="5620" xr:uid="{57B95B1E-341B-44DE-837A-A57D337C82F4}"/>
    <cellStyle name="Normal 5 2 2 3 4 2 2" xfId="9838" xr:uid="{04E62926-4054-49FF-901F-A807726D2F1B}"/>
    <cellStyle name="Normal 5 2 2 3 4 3" xfId="7693" xr:uid="{66ABEF84-629C-4A56-98BC-F350FB6643E8}"/>
    <cellStyle name="Normal 5 2 2 3 4 4" xfId="3391" xr:uid="{F95734DC-89AD-45DE-86AE-3D13F6F647A2}"/>
    <cellStyle name="Normal 5 2 2 3 4 5" xfId="2562" xr:uid="{4E053DDA-02AE-41CA-8AF8-7B9DB5F2235E}"/>
    <cellStyle name="Normal 5 2 2 3 4 6" xfId="1733" xr:uid="{FE8EAB0A-F3AC-42DA-BC94-A9176CA95B2B}"/>
    <cellStyle name="Normal 5 2 2 3 5" xfId="3804" xr:uid="{7371F68A-7F4D-4FC9-94A3-D0F5975FA7CF}"/>
    <cellStyle name="Normal 5 2 2 3 5 2" xfId="6033" xr:uid="{E028FB2B-07FF-4754-9D00-7F43473F85E4}"/>
    <cellStyle name="Normal 5 2 2 3 5 2 2" xfId="10251" xr:uid="{7AB88674-1BDF-42E7-BA4E-E3189F1F268B}"/>
    <cellStyle name="Normal 5 2 2 3 5 3" xfId="8106" xr:uid="{BDCD8F2A-E95F-4509-95D1-47ECB37AF59A}"/>
    <cellStyle name="Normal 5 2 2 3 6" xfId="4217" xr:uid="{6DAA8AEE-CC11-4C40-BC33-18CA6E789D05}"/>
    <cellStyle name="Normal 5 2 2 3 6 2" xfId="6446" xr:uid="{9998CFA8-E985-4FB6-8791-F529F60C2950}"/>
    <cellStyle name="Normal 5 2 2 3 6 2 2" xfId="10664" xr:uid="{E459A34C-AF45-405C-81E1-89C5C104AAA5}"/>
    <cellStyle name="Normal 5 2 2 3 6 3" xfId="8519" xr:uid="{C66B0F0C-58F1-425A-A787-434B305F9383}"/>
    <cellStyle name="Normal 5 2 2 3 7" xfId="4630" xr:uid="{0CF793F5-28B3-4F0B-9859-BCBF6F26F07F}"/>
    <cellStyle name="Normal 5 2 2 3 7 2" xfId="6859" xr:uid="{4DA16137-23A7-4FCC-BE8A-5004F9B797A0}"/>
    <cellStyle name="Normal 5 2 2 3 7 2 2" xfId="11077" xr:uid="{8950E7F4-8A28-4A62-8372-3BC2AF04EFEB}"/>
    <cellStyle name="Normal 5 2 2 3 7 3" xfId="8932" xr:uid="{DE0F5659-71E3-476A-97AB-C51F6C89F18B}"/>
    <cellStyle name="Normal 5 2 2 3 8" xfId="5066" xr:uid="{5B27CFE2-64D3-46BD-84B3-F32A7D4FBCC5}"/>
    <cellStyle name="Normal 5 2 2 3 8 2" xfId="9345" xr:uid="{CAD0A5CE-F201-4682-AEC4-FB0614C2E3C2}"/>
    <cellStyle name="Normal 5 2 2 3 9" xfId="7280" xr:uid="{4E212F04-5A36-4029-9FD8-F6468C8DDDB5}"/>
    <cellStyle name="Normal 5 2 2 4" xfId="424" xr:uid="{00000000-0005-0000-0000-0000ED020000}"/>
    <cellStyle name="Normal 5 2 2 4 10" xfId="2150" xr:uid="{508F4935-B270-41B7-8137-1DD79B26BD6E}"/>
    <cellStyle name="Normal 5 2 2 4 11" xfId="1321" xr:uid="{ACFF7D56-14A0-4F45-B7EB-0ADFA41FBDFC}"/>
    <cellStyle name="Normal 5 2 2 4 2" xfId="425" xr:uid="{00000000-0005-0000-0000-0000EE020000}"/>
    <cellStyle name="Normal 5 2 2 4 2 10" xfId="1322" xr:uid="{D01D07F8-0967-4A00-8848-3791B9D19365}"/>
    <cellStyle name="Normal 5 2 2 4 2 2" xfId="904" xr:uid="{00000000-0005-0000-0000-0000EF020000}"/>
    <cellStyle name="Normal 5 2 2 4 2 2 2" xfId="5625" xr:uid="{94358712-2DCA-4D23-980B-492F70DB9C9E}"/>
    <cellStyle name="Normal 5 2 2 4 2 2 2 2" xfId="9843" xr:uid="{DB9781D9-D593-4799-B503-5B6A4C9F6EC0}"/>
    <cellStyle name="Normal 5 2 2 4 2 2 3" xfId="7698" xr:uid="{67832666-AA25-4C66-A4C8-87AE3AE48081}"/>
    <cellStyle name="Normal 5 2 2 4 2 2 4" xfId="3396" xr:uid="{43C936C4-3E84-4808-A233-0002801ACB8D}"/>
    <cellStyle name="Normal 5 2 2 4 2 2 5" xfId="2567" xr:uid="{119E302E-70B0-41A2-9978-57E74AD9C717}"/>
    <cellStyle name="Normal 5 2 2 4 2 2 6" xfId="1738" xr:uid="{B03123CD-21FE-4D14-9140-5C4CA89DF58A}"/>
    <cellStyle name="Normal 5 2 2 4 2 3" xfId="3809" xr:uid="{5718DC90-402F-4B2C-A31F-4E148504F650}"/>
    <cellStyle name="Normal 5 2 2 4 2 3 2" xfId="6038" xr:uid="{30A00CDC-D91D-485D-9BCC-0EDE02A3D165}"/>
    <cellStyle name="Normal 5 2 2 4 2 3 2 2" xfId="10256" xr:uid="{E4D5B22E-7199-46F0-9F73-72AE9B4D7AB9}"/>
    <cellStyle name="Normal 5 2 2 4 2 3 3" xfId="8111" xr:uid="{C3919C64-2CAC-42B1-8C64-46A023274FA7}"/>
    <cellStyle name="Normal 5 2 2 4 2 4" xfId="4222" xr:uid="{4C912E46-6E9A-48BA-8A52-E42BF59D5975}"/>
    <cellStyle name="Normal 5 2 2 4 2 4 2" xfId="6451" xr:uid="{FD94A7DE-87DD-45ED-B8E0-46CF66568C66}"/>
    <cellStyle name="Normal 5 2 2 4 2 4 2 2" xfId="10669" xr:uid="{FC249F80-2685-4D7E-82E4-A72DA94C0519}"/>
    <cellStyle name="Normal 5 2 2 4 2 4 3" xfId="8524" xr:uid="{B5A3B559-DA82-49ED-8930-D93CF4756474}"/>
    <cellStyle name="Normal 5 2 2 4 2 5" xfId="4635" xr:uid="{9E0D69C9-58B8-4B35-95D7-DA5FBE7AEAC4}"/>
    <cellStyle name="Normal 5 2 2 4 2 5 2" xfId="6864" xr:uid="{C95C6215-83C0-4824-A3B3-328F40DFCCD5}"/>
    <cellStyle name="Normal 5 2 2 4 2 5 2 2" xfId="11082" xr:uid="{1AA74BF4-B873-4DC0-B8A7-065D6F61C2AC}"/>
    <cellStyle name="Normal 5 2 2 4 2 5 3" xfId="8937" xr:uid="{595E5601-D727-48B4-AB99-50D04C3DBEE5}"/>
    <cellStyle name="Normal 5 2 2 4 2 6" xfId="5071" xr:uid="{2881CF78-3012-48A1-B9DB-E27371B190E1}"/>
    <cellStyle name="Normal 5 2 2 4 2 6 2" xfId="9350" xr:uid="{78695362-5B5E-44D3-B3A5-63A4A128F9BD}"/>
    <cellStyle name="Normal 5 2 2 4 2 7" xfId="7285" xr:uid="{D7A793F4-72C8-4E4B-951F-B1E63A9AF568}"/>
    <cellStyle name="Normal 5 2 2 4 2 8" xfId="2981" xr:uid="{48BC96CA-0B4B-4D4B-8AD2-FD6F73388D24}"/>
    <cellStyle name="Normal 5 2 2 4 2 9" xfId="2151" xr:uid="{DE4D22CE-FA84-4F07-8CA5-1729690CEBC6}"/>
    <cellStyle name="Normal 5 2 2 4 3" xfId="903" xr:uid="{00000000-0005-0000-0000-0000F0020000}"/>
    <cellStyle name="Normal 5 2 2 4 3 2" xfId="5624" xr:uid="{ACB4E10A-CD9C-432A-AFEE-0CEF696C8DC0}"/>
    <cellStyle name="Normal 5 2 2 4 3 2 2" xfId="9842" xr:uid="{98993201-5C7C-458F-ABB2-85401C197590}"/>
    <cellStyle name="Normal 5 2 2 4 3 3" xfId="7697" xr:uid="{8840AEDC-A195-41F2-9559-9FE9F331CABF}"/>
    <cellStyle name="Normal 5 2 2 4 3 4" xfId="3395" xr:uid="{A515617B-4FF1-40EA-B43B-050E48F38DFD}"/>
    <cellStyle name="Normal 5 2 2 4 3 5" xfId="2566" xr:uid="{BCD3C16D-EB57-43B4-B15D-7F70703D29F4}"/>
    <cellStyle name="Normal 5 2 2 4 3 6" xfId="1737" xr:uid="{AB52069A-2DED-4925-BE3A-14D091770BB4}"/>
    <cellStyle name="Normal 5 2 2 4 4" xfId="3808" xr:uid="{2619D16D-2F4F-4034-A0DF-0C5A4BABC236}"/>
    <cellStyle name="Normal 5 2 2 4 4 2" xfId="6037" xr:uid="{B6DCD223-CC78-45C8-AD1A-AD9821F2B737}"/>
    <cellStyle name="Normal 5 2 2 4 4 2 2" xfId="10255" xr:uid="{A8AEB6D4-2B07-4C17-A2FE-79F274E21A62}"/>
    <cellStyle name="Normal 5 2 2 4 4 3" xfId="8110" xr:uid="{99389FEF-3879-4047-9CC7-29E5D3EC7C67}"/>
    <cellStyle name="Normal 5 2 2 4 5" xfId="4221" xr:uid="{5B069FFE-3038-431B-B06E-B179A798EAD3}"/>
    <cellStyle name="Normal 5 2 2 4 5 2" xfId="6450" xr:uid="{C61DE55D-9A72-4681-84A9-36E1741DB134}"/>
    <cellStyle name="Normal 5 2 2 4 5 2 2" xfId="10668" xr:uid="{ED3F8A96-8997-49D4-8202-084393D992A9}"/>
    <cellStyle name="Normal 5 2 2 4 5 3" xfId="8523" xr:uid="{532641CF-3A49-42E1-B9F3-2AAC45072A4B}"/>
    <cellStyle name="Normal 5 2 2 4 6" xfId="4634" xr:uid="{AA99D3F4-7041-410D-B926-0A6E2D9A5A6A}"/>
    <cellStyle name="Normal 5 2 2 4 6 2" xfId="6863" xr:uid="{24F6636F-6A62-4851-96A8-1A085E50B7DC}"/>
    <cellStyle name="Normal 5 2 2 4 6 2 2" xfId="11081" xr:uid="{328174D4-EF3B-4EE5-978B-EA4E300C61C6}"/>
    <cellStyle name="Normal 5 2 2 4 6 3" xfId="8936" xr:uid="{5229C9C7-85D2-4100-A61F-A2B06C4A2468}"/>
    <cellStyle name="Normal 5 2 2 4 7" xfId="5070" xr:uid="{59C6E3F9-072E-4BAB-9FBB-D9BD66F2750D}"/>
    <cellStyle name="Normal 5 2 2 4 7 2" xfId="9349" xr:uid="{AEA21D7F-E491-402B-9429-8CDE982DFE82}"/>
    <cellStyle name="Normal 5 2 2 4 8" xfId="7284" xr:uid="{1D366966-2FF2-4100-AA12-F226721CB7F1}"/>
    <cellStyle name="Normal 5 2 2 4 9" xfId="2980" xr:uid="{D7FC4D97-74D2-4FD9-B8CA-F217993783BF}"/>
    <cellStyle name="Normal 5 2 2 5" xfId="426" xr:uid="{00000000-0005-0000-0000-0000F1020000}"/>
    <cellStyle name="Normal 5 2 2 5 10" xfId="1323" xr:uid="{F598D2CF-9A82-4C25-AB1E-33B58AEF615E}"/>
    <cellStyle name="Normal 5 2 2 5 2" xfId="905" xr:uid="{00000000-0005-0000-0000-0000F2020000}"/>
    <cellStyle name="Normal 5 2 2 5 2 2" xfId="5626" xr:uid="{5215583B-F44C-477A-8FED-EC49ED214D6F}"/>
    <cellStyle name="Normal 5 2 2 5 2 2 2" xfId="9844" xr:uid="{B8C5D129-F92D-4236-8357-A754FD7FB8B5}"/>
    <cellStyle name="Normal 5 2 2 5 2 3" xfId="7699" xr:uid="{207444CD-1402-4059-8F0A-1A881B67319A}"/>
    <cellStyle name="Normal 5 2 2 5 2 4" xfId="3397" xr:uid="{9A42B898-A5D9-40D5-AA34-086EEE5B3D6B}"/>
    <cellStyle name="Normal 5 2 2 5 2 5" xfId="2568" xr:uid="{2253B1F2-0BB9-40E6-94EB-9D4994AE5B7F}"/>
    <cellStyle name="Normal 5 2 2 5 2 6" xfId="1739" xr:uid="{10A9D5B1-384D-46DE-B9AA-B7CFABF1CADE}"/>
    <cellStyle name="Normal 5 2 2 5 3" xfId="3810" xr:uid="{1550E9B5-19AD-419F-A465-724971C8E1D8}"/>
    <cellStyle name="Normal 5 2 2 5 3 2" xfId="6039" xr:uid="{70582AEA-964C-4211-91AA-14017C792427}"/>
    <cellStyle name="Normal 5 2 2 5 3 2 2" xfId="10257" xr:uid="{79A26015-1D4A-4843-AB9E-52136D7B7142}"/>
    <cellStyle name="Normal 5 2 2 5 3 3" xfId="8112" xr:uid="{D58806C4-8DAC-45F8-B049-56396DF70165}"/>
    <cellStyle name="Normal 5 2 2 5 4" xfId="4223" xr:uid="{FD721CF8-B4E2-42D6-BD89-230DC44D3F8F}"/>
    <cellStyle name="Normal 5 2 2 5 4 2" xfId="6452" xr:uid="{54D275D3-A19A-4F59-8EBC-224E0A0B2C55}"/>
    <cellStyle name="Normal 5 2 2 5 4 2 2" xfId="10670" xr:uid="{D10760D5-E99E-4C9A-8252-8B71ECD7BB0A}"/>
    <cellStyle name="Normal 5 2 2 5 4 3" xfId="8525" xr:uid="{D2AEBD0F-A929-4FFA-A635-2C9EA66B0D77}"/>
    <cellStyle name="Normal 5 2 2 5 5" xfId="4636" xr:uid="{0FD6ED18-493A-40BE-99B7-9EE58A20ACF5}"/>
    <cellStyle name="Normal 5 2 2 5 5 2" xfId="6865" xr:uid="{94CBA2FE-2D7B-4324-BA34-369504A44524}"/>
    <cellStyle name="Normal 5 2 2 5 5 2 2" xfId="11083" xr:uid="{F47DC04E-AB2D-4410-8547-9C18B3500544}"/>
    <cellStyle name="Normal 5 2 2 5 5 3" xfId="8938" xr:uid="{37015026-5424-472D-BB6F-64EE2486DEB4}"/>
    <cellStyle name="Normal 5 2 2 5 6" xfId="5072" xr:uid="{8EB69F26-8291-4983-81D0-2F0B05D9D324}"/>
    <cellStyle name="Normal 5 2 2 5 6 2" xfId="9351" xr:uid="{FADAFCE7-A778-4ACF-A4FB-5B657213DE54}"/>
    <cellStyle name="Normal 5 2 2 5 7" xfId="7286" xr:uid="{3C58509C-EA9F-48F2-A340-1E6F110FF4DF}"/>
    <cellStyle name="Normal 5 2 2 5 8" xfId="2982" xr:uid="{75059E96-5252-4DF3-8E60-01A315C79588}"/>
    <cellStyle name="Normal 5 2 2 5 9" xfId="2152" xr:uid="{8B0FAB61-802E-4BEF-BA14-E803790320B3}"/>
    <cellStyle name="Normal 5 2 2 6" xfId="890" xr:uid="{00000000-0005-0000-0000-0000F3020000}"/>
    <cellStyle name="Normal 5 2 2 6 2" xfId="5611" xr:uid="{52832702-F5CB-49A6-8F7F-3920259CBDCA}"/>
    <cellStyle name="Normal 5 2 2 6 2 2" xfId="9829" xr:uid="{DB23B866-7C8F-4578-B9C4-3416D64B673A}"/>
    <cellStyle name="Normal 5 2 2 6 3" xfId="7684" xr:uid="{32F0F346-A16C-45E8-A06D-6D418DCF6449}"/>
    <cellStyle name="Normal 5 2 2 6 4" xfId="3382" xr:uid="{1648C0AE-55A0-448F-8E87-A53B8C133B93}"/>
    <cellStyle name="Normal 5 2 2 6 5" xfId="2553" xr:uid="{124FA950-0EEF-403D-A5C4-AE5BE26B5850}"/>
    <cellStyle name="Normal 5 2 2 6 6" xfId="1724" xr:uid="{645AB25E-A90E-4431-B993-2AAC0BF4F2BF}"/>
    <cellStyle name="Normal 5 2 2 7" xfId="3795" xr:uid="{C42CB65A-4554-4E76-A010-1F3713065732}"/>
    <cellStyle name="Normal 5 2 2 7 2" xfId="6024" xr:uid="{B168995A-8E2B-4D1D-ADA0-CB7CA62ADDC9}"/>
    <cellStyle name="Normal 5 2 2 7 2 2" xfId="10242" xr:uid="{0D111DD0-F072-4857-9476-F784D876AFCA}"/>
    <cellStyle name="Normal 5 2 2 7 3" xfId="8097" xr:uid="{C43595A7-D039-42E2-8A26-E3B41FEAED65}"/>
    <cellStyle name="Normal 5 2 2 8" xfId="4208" xr:uid="{718033F4-AF57-46C0-9ED8-5E335DC4D5DD}"/>
    <cellStyle name="Normal 5 2 2 8 2" xfId="6437" xr:uid="{746F4348-6F01-4425-973D-A375C7E18A33}"/>
    <cellStyle name="Normal 5 2 2 8 2 2" xfId="10655" xr:uid="{997228AF-B83B-4584-A816-E378B070C256}"/>
    <cellStyle name="Normal 5 2 2 8 3" xfId="8510" xr:uid="{FC675C85-F9C2-428A-8671-9C03F6BF19AB}"/>
    <cellStyle name="Normal 5 2 2 9" xfId="4621" xr:uid="{FA530841-D7BC-4BB2-9739-2783930F48ED}"/>
    <cellStyle name="Normal 5 2 2 9 2" xfId="6850" xr:uid="{56EAE717-AB11-4AF9-89F3-E15EA5EC2279}"/>
    <cellStyle name="Normal 5 2 2 9 2 2" xfId="11068" xr:uid="{8B4F1DDE-97AA-445F-B985-87F0796772BE}"/>
    <cellStyle name="Normal 5 2 2 9 3" xfId="8923" xr:uid="{653914AB-9D77-4315-AEAF-7F72FDF4640D}"/>
    <cellStyle name="Normal 5 2 3" xfId="427" xr:uid="{00000000-0005-0000-0000-0000F4020000}"/>
    <cellStyle name="Normal 5 2 3 10" xfId="7287" xr:uid="{73DB72E6-78CD-4076-BEA6-2013D04E62CA}"/>
    <cellStyle name="Normal 5 2 3 11" xfId="2983" xr:uid="{5A5E3542-CDCB-48A1-A0CE-5C4E6AE6063D}"/>
    <cellStyle name="Normal 5 2 3 12" xfId="2153" xr:uid="{FDA5439D-DD12-4429-92C1-BB3F09BCB0B0}"/>
    <cellStyle name="Normal 5 2 3 13" xfId="1324" xr:uid="{0C355421-2500-4868-A01C-FC41B4A2B9DA}"/>
    <cellStyle name="Normal 5 2 3 2" xfId="428" xr:uid="{00000000-0005-0000-0000-0000F5020000}"/>
    <cellStyle name="Normal 5 2 3 2 10" xfId="2984" xr:uid="{5BF78210-C85D-4300-898D-930808995A07}"/>
    <cellStyle name="Normal 5 2 3 2 11" xfId="2154" xr:uid="{A1C3479D-7523-48F1-BD90-CF5B54EBEE65}"/>
    <cellStyle name="Normal 5 2 3 2 12" xfId="1325" xr:uid="{7F4C696F-8781-4E1C-9ADA-6DBBE988E91D}"/>
    <cellStyle name="Normal 5 2 3 2 2" xfId="429" xr:uid="{00000000-0005-0000-0000-0000F6020000}"/>
    <cellStyle name="Normal 5 2 3 2 2 10" xfId="2155" xr:uid="{8F1795DE-8F9E-455A-B0E3-9FBB842EDF81}"/>
    <cellStyle name="Normal 5 2 3 2 2 11" xfId="1326" xr:uid="{E8651115-6D52-4BA0-93FA-23D6C7D9491C}"/>
    <cellStyle name="Normal 5 2 3 2 2 2" xfId="430" xr:uid="{00000000-0005-0000-0000-0000F7020000}"/>
    <cellStyle name="Normal 5 2 3 2 2 2 10" xfId="1327" xr:uid="{7A0058F2-6A40-4774-92B0-2981ED18A28B}"/>
    <cellStyle name="Normal 5 2 3 2 2 2 2" xfId="909" xr:uid="{00000000-0005-0000-0000-0000F8020000}"/>
    <cellStyle name="Normal 5 2 3 2 2 2 2 2" xfId="5630" xr:uid="{DD1B06A8-DFE6-43B3-B9A0-780C84646E80}"/>
    <cellStyle name="Normal 5 2 3 2 2 2 2 2 2" xfId="9848" xr:uid="{01F1F617-7F3E-40FB-8236-BD223A8DC130}"/>
    <cellStyle name="Normal 5 2 3 2 2 2 2 3" xfId="7703" xr:uid="{00AF013D-6DCA-4EA2-A5E0-5D50C19838CC}"/>
    <cellStyle name="Normal 5 2 3 2 2 2 2 4" xfId="3401" xr:uid="{63AC8A2B-5E85-4F13-969C-85C11B242322}"/>
    <cellStyle name="Normal 5 2 3 2 2 2 2 5" xfId="2572" xr:uid="{60DDCE5A-C900-4149-BED5-003B17F1A2DB}"/>
    <cellStyle name="Normal 5 2 3 2 2 2 2 6" xfId="1743" xr:uid="{C9B2C9C8-31AB-4183-9BD8-52E4C3C25660}"/>
    <cellStyle name="Normal 5 2 3 2 2 2 3" xfId="3814" xr:uid="{7A65C56B-3663-4993-BD93-9D13490F623D}"/>
    <cellStyle name="Normal 5 2 3 2 2 2 3 2" xfId="6043" xr:uid="{06070B31-7BCE-4695-A6B0-B9C9401FD916}"/>
    <cellStyle name="Normal 5 2 3 2 2 2 3 2 2" xfId="10261" xr:uid="{B42555CF-9268-4381-992F-FCB41AC1EF92}"/>
    <cellStyle name="Normal 5 2 3 2 2 2 3 3" xfId="8116" xr:uid="{A361C7B7-D64D-4EB7-ACB8-675A90C1ABDE}"/>
    <cellStyle name="Normal 5 2 3 2 2 2 4" xfId="4227" xr:uid="{3FC81BDA-E793-4461-B4DE-2112E85E1553}"/>
    <cellStyle name="Normal 5 2 3 2 2 2 4 2" xfId="6456" xr:uid="{44B41A9B-6ADF-43BF-A9B5-133487D2740D}"/>
    <cellStyle name="Normal 5 2 3 2 2 2 4 2 2" xfId="10674" xr:uid="{56CB886B-EFD7-47A3-998A-AA3D59018706}"/>
    <cellStyle name="Normal 5 2 3 2 2 2 4 3" xfId="8529" xr:uid="{23D523A2-5D1C-4B05-B63F-0EBFDDAA00D5}"/>
    <cellStyle name="Normal 5 2 3 2 2 2 5" xfId="4640" xr:uid="{EAD514D1-7084-4330-80D0-D0FF81FA07D8}"/>
    <cellStyle name="Normal 5 2 3 2 2 2 5 2" xfId="6869" xr:uid="{25E0DECD-EA86-45F6-AF56-1F5C9FAFA195}"/>
    <cellStyle name="Normal 5 2 3 2 2 2 5 2 2" xfId="11087" xr:uid="{3DED264D-9DDF-4C96-9541-AB1F12212297}"/>
    <cellStyle name="Normal 5 2 3 2 2 2 5 3" xfId="8942" xr:uid="{BFCD1D90-D75A-4E00-8476-1A432704658E}"/>
    <cellStyle name="Normal 5 2 3 2 2 2 6" xfId="5076" xr:uid="{7DE9F3DC-26BB-48DC-B35F-E44EB83C8D1D}"/>
    <cellStyle name="Normal 5 2 3 2 2 2 6 2" xfId="9355" xr:uid="{1F4C58DD-7E46-4F66-AA43-E680F05A954C}"/>
    <cellStyle name="Normal 5 2 3 2 2 2 7" xfId="7290" xr:uid="{6714D593-2BFF-4111-8A7B-FFE52F102B58}"/>
    <cellStyle name="Normal 5 2 3 2 2 2 8" xfId="2986" xr:uid="{2A56FE74-1A31-4E71-8247-123774C6489F}"/>
    <cellStyle name="Normal 5 2 3 2 2 2 9" xfId="2156" xr:uid="{31D97F9E-0111-4872-ADD6-DB938BDA7510}"/>
    <cellStyle name="Normal 5 2 3 2 2 3" xfId="908" xr:uid="{00000000-0005-0000-0000-0000F9020000}"/>
    <cellStyle name="Normal 5 2 3 2 2 3 2" xfId="5629" xr:uid="{38A98684-F1F5-4263-B3CC-F647785DFE0C}"/>
    <cellStyle name="Normal 5 2 3 2 2 3 2 2" xfId="9847" xr:uid="{A2616203-46FF-4B9C-88E2-49F6C60200C7}"/>
    <cellStyle name="Normal 5 2 3 2 2 3 3" xfId="7702" xr:uid="{48139EF6-9D42-40E0-9DED-98E1D3D566EA}"/>
    <cellStyle name="Normal 5 2 3 2 2 3 4" xfId="3400" xr:uid="{B3D8F106-9861-489B-AF61-B5DE5DE1E66F}"/>
    <cellStyle name="Normal 5 2 3 2 2 3 5" xfId="2571" xr:uid="{92C08B5D-2E0C-4068-A452-1D5D23306269}"/>
    <cellStyle name="Normal 5 2 3 2 2 3 6" xfId="1742" xr:uid="{0510DF0D-0B8C-47FE-A81D-AFD0493BDF95}"/>
    <cellStyle name="Normal 5 2 3 2 2 4" xfId="3813" xr:uid="{386595CF-34C9-4686-B995-CBC9920A0468}"/>
    <cellStyle name="Normal 5 2 3 2 2 4 2" xfId="6042" xr:uid="{0CD2805D-061A-4040-BB8F-3ACB1E47AAED}"/>
    <cellStyle name="Normal 5 2 3 2 2 4 2 2" xfId="10260" xr:uid="{E1A4ABFB-2EF5-4CAB-9724-2ABFE3DEE382}"/>
    <cellStyle name="Normal 5 2 3 2 2 4 3" xfId="8115" xr:uid="{2660F587-8C46-44E9-B0FB-ED4228687DAB}"/>
    <cellStyle name="Normal 5 2 3 2 2 5" xfId="4226" xr:uid="{E7B9F40F-8849-4B85-A56A-951ABF5ADAC8}"/>
    <cellStyle name="Normal 5 2 3 2 2 5 2" xfId="6455" xr:uid="{8BF45C48-76AC-4A78-9602-A58DFFA4C08D}"/>
    <cellStyle name="Normal 5 2 3 2 2 5 2 2" xfId="10673" xr:uid="{55492F6F-49CE-4B90-BC1E-CA956F55A6DF}"/>
    <cellStyle name="Normal 5 2 3 2 2 5 3" xfId="8528" xr:uid="{8FBD6DFA-C432-4FA0-864E-C15FE7DC659C}"/>
    <cellStyle name="Normal 5 2 3 2 2 6" xfId="4639" xr:uid="{360A4F7B-AB1C-4184-B9CB-3834322FB5CD}"/>
    <cellStyle name="Normal 5 2 3 2 2 6 2" xfId="6868" xr:uid="{E39F4436-7E3C-4C16-B335-00B7776F600D}"/>
    <cellStyle name="Normal 5 2 3 2 2 6 2 2" xfId="11086" xr:uid="{34BC40A0-86B6-4F83-A1A0-4A5176884FBC}"/>
    <cellStyle name="Normal 5 2 3 2 2 6 3" xfId="8941" xr:uid="{AD79B58F-B206-476D-8DFD-D224C8EA879A}"/>
    <cellStyle name="Normal 5 2 3 2 2 7" xfId="5075" xr:uid="{17B8035D-E4DE-451A-BC59-95317BBD36CD}"/>
    <cellStyle name="Normal 5 2 3 2 2 7 2" xfId="9354" xr:uid="{489E87D7-F5F0-4B9F-97D1-98DA96F68775}"/>
    <cellStyle name="Normal 5 2 3 2 2 8" xfId="7289" xr:uid="{93EABC1B-34B1-4BE2-B4E0-2029F65CAB8E}"/>
    <cellStyle name="Normal 5 2 3 2 2 9" xfId="2985" xr:uid="{833CFC9D-7248-424F-B605-ABADC283B05D}"/>
    <cellStyle name="Normal 5 2 3 2 3" xfId="431" xr:uid="{00000000-0005-0000-0000-0000FA020000}"/>
    <cellStyle name="Normal 5 2 3 2 3 10" xfId="1328" xr:uid="{F42B0D92-E914-435F-BE40-BE2206A03D8A}"/>
    <cellStyle name="Normal 5 2 3 2 3 2" xfId="910" xr:uid="{00000000-0005-0000-0000-0000FB020000}"/>
    <cellStyle name="Normal 5 2 3 2 3 2 2" xfId="5631" xr:uid="{E23B609C-E4EF-423F-93D6-BD8D534932CE}"/>
    <cellStyle name="Normal 5 2 3 2 3 2 2 2" xfId="9849" xr:uid="{7730A0DA-1546-4CD4-8036-7B4A0E0F9027}"/>
    <cellStyle name="Normal 5 2 3 2 3 2 3" xfId="7704" xr:uid="{1A5DDF12-83C6-427E-ACCD-47A17A91818C}"/>
    <cellStyle name="Normal 5 2 3 2 3 2 4" xfId="3402" xr:uid="{A2E95937-70AA-4BFD-A514-48FE927A5048}"/>
    <cellStyle name="Normal 5 2 3 2 3 2 5" xfId="2573" xr:uid="{79444377-E76C-425F-9924-2EBBAD502A8B}"/>
    <cellStyle name="Normal 5 2 3 2 3 2 6" xfId="1744" xr:uid="{C6ABF849-4050-4E4F-8540-7DE6558745F8}"/>
    <cellStyle name="Normal 5 2 3 2 3 3" xfId="3815" xr:uid="{2F480A9E-600D-497E-8C2A-99B5BC89D096}"/>
    <cellStyle name="Normal 5 2 3 2 3 3 2" xfId="6044" xr:uid="{816F6C92-031D-418D-8EF1-521F6598718F}"/>
    <cellStyle name="Normal 5 2 3 2 3 3 2 2" xfId="10262" xr:uid="{231FF4A8-A035-49DF-9794-3648CBE8786E}"/>
    <cellStyle name="Normal 5 2 3 2 3 3 3" xfId="8117" xr:uid="{A13F97C5-1339-4498-96BF-C5C0092D319A}"/>
    <cellStyle name="Normal 5 2 3 2 3 4" xfId="4228" xr:uid="{EBE67B8E-2824-4EDD-9D66-10DFADD2839F}"/>
    <cellStyle name="Normal 5 2 3 2 3 4 2" xfId="6457" xr:uid="{3E037C3E-B23E-45F3-A016-6C684A62A17D}"/>
    <cellStyle name="Normal 5 2 3 2 3 4 2 2" xfId="10675" xr:uid="{661D5642-4277-4D66-8E58-3BEA7F040907}"/>
    <cellStyle name="Normal 5 2 3 2 3 4 3" xfId="8530" xr:uid="{A5F60943-16D5-4E3A-A02E-BC7B4A2AA827}"/>
    <cellStyle name="Normal 5 2 3 2 3 5" xfId="4641" xr:uid="{219C0B7F-8717-4E06-835C-6B6EC553BCBD}"/>
    <cellStyle name="Normal 5 2 3 2 3 5 2" xfId="6870" xr:uid="{E34BE268-D299-46DA-86D2-D837A66F073B}"/>
    <cellStyle name="Normal 5 2 3 2 3 5 2 2" xfId="11088" xr:uid="{6DECC331-0CF1-483C-8949-35E3FDDE7EDC}"/>
    <cellStyle name="Normal 5 2 3 2 3 5 3" xfId="8943" xr:uid="{615B9A4E-5C03-491A-8609-AA85EFC7E108}"/>
    <cellStyle name="Normal 5 2 3 2 3 6" xfId="5077" xr:uid="{7CBBAA45-F3FA-48AD-A7CD-052CF51668C5}"/>
    <cellStyle name="Normal 5 2 3 2 3 6 2" xfId="9356" xr:uid="{C25F5B05-6928-4134-9454-81B09E575A4C}"/>
    <cellStyle name="Normal 5 2 3 2 3 7" xfId="7291" xr:uid="{54D20B35-71F9-4315-AA92-21005327010B}"/>
    <cellStyle name="Normal 5 2 3 2 3 8" xfId="2987" xr:uid="{35709B23-8371-4858-A716-4C1070363855}"/>
    <cellStyle name="Normal 5 2 3 2 3 9" xfId="2157" xr:uid="{A9829E77-575A-40E9-93F4-670A4F51A198}"/>
    <cellStyle name="Normal 5 2 3 2 4" xfId="907" xr:uid="{00000000-0005-0000-0000-0000FC020000}"/>
    <cellStyle name="Normal 5 2 3 2 4 2" xfId="5628" xr:uid="{B26925E5-49B3-4912-A3B9-64D15C4CC672}"/>
    <cellStyle name="Normal 5 2 3 2 4 2 2" xfId="9846" xr:uid="{76F007E8-56D8-4CF1-A4E0-2E1CF322709D}"/>
    <cellStyle name="Normal 5 2 3 2 4 3" xfId="7701" xr:uid="{66ED8E48-F38D-4909-8971-58963230D581}"/>
    <cellStyle name="Normal 5 2 3 2 4 4" xfId="3399" xr:uid="{5F814274-B734-4292-A8F8-45D776D1AD34}"/>
    <cellStyle name="Normal 5 2 3 2 4 5" xfId="2570" xr:uid="{F857B84E-E0D9-456D-8741-BEAF401C4D47}"/>
    <cellStyle name="Normal 5 2 3 2 4 6" xfId="1741" xr:uid="{D755D9DA-5ADC-4A10-AABF-EF369BE933CF}"/>
    <cellStyle name="Normal 5 2 3 2 5" xfId="3812" xr:uid="{BE9F9712-F4A8-4AF4-8560-6CEF5031F0D3}"/>
    <cellStyle name="Normal 5 2 3 2 5 2" xfId="6041" xr:uid="{7BEA39FE-CA52-4051-93F5-1E14234A6488}"/>
    <cellStyle name="Normal 5 2 3 2 5 2 2" xfId="10259" xr:uid="{978AE993-2F79-4EE5-B8D6-30EAB346F4B9}"/>
    <cellStyle name="Normal 5 2 3 2 5 3" xfId="8114" xr:uid="{B4AFF9B0-5474-440B-B894-C301C8E88B7E}"/>
    <cellStyle name="Normal 5 2 3 2 6" xfId="4225" xr:uid="{99716FFD-C606-4E83-94FF-A4C55B52B058}"/>
    <cellStyle name="Normal 5 2 3 2 6 2" xfId="6454" xr:uid="{288B7DEC-32EE-4AE0-80D2-2817F9630723}"/>
    <cellStyle name="Normal 5 2 3 2 6 2 2" xfId="10672" xr:uid="{BC432F9A-9D62-4EFD-A03A-C2BDFA887E58}"/>
    <cellStyle name="Normal 5 2 3 2 6 3" xfId="8527" xr:uid="{FCF24788-C967-4BCB-B24F-FC071B02AFF5}"/>
    <cellStyle name="Normal 5 2 3 2 7" xfId="4638" xr:uid="{D4CDA90B-D684-47BC-89BD-F12557C304A5}"/>
    <cellStyle name="Normal 5 2 3 2 7 2" xfId="6867" xr:uid="{F0132D2B-3C29-444E-B244-E0B787470DE1}"/>
    <cellStyle name="Normal 5 2 3 2 7 2 2" xfId="11085" xr:uid="{B92202DC-180C-4E3F-8D3A-A8913A30C61C}"/>
    <cellStyle name="Normal 5 2 3 2 7 3" xfId="8940" xr:uid="{7AA124C6-8381-480F-AA69-BF4E8429AC53}"/>
    <cellStyle name="Normal 5 2 3 2 8" xfId="5074" xr:uid="{E2191D9D-E15B-499F-90D2-EFE90E41B8AE}"/>
    <cellStyle name="Normal 5 2 3 2 8 2" xfId="9353" xr:uid="{2AB1D10A-0F76-4760-A63C-AFC6E850BEBC}"/>
    <cellStyle name="Normal 5 2 3 2 9" xfId="7288" xr:uid="{BBD9ABD4-E1A3-44B7-9992-751191F52EB7}"/>
    <cellStyle name="Normal 5 2 3 3" xfId="432" xr:uid="{00000000-0005-0000-0000-0000FD020000}"/>
    <cellStyle name="Normal 5 2 3 3 10" xfId="2158" xr:uid="{2F4371EF-CD77-4834-8CB4-B19176B19DC4}"/>
    <cellStyle name="Normal 5 2 3 3 11" xfId="1329" xr:uid="{394C1D69-0406-4F27-A34C-EDA15730EC57}"/>
    <cellStyle name="Normal 5 2 3 3 2" xfId="433" xr:uid="{00000000-0005-0000-0000-0000FE020000}"/>
    <cellStyle name="Normal 5 2 3 3 2 10" xfId="1330" xr:uid="{DAA0E6E8-B7E1-4839-B5C3-166F07C1A50B}"/>
    <cellStyle name="Normal 5 2 3 3 2 2" xfId="912" xr:uid="{00000000-0005-0000-0000-0000FF020000}"/>
    <cellStyle name="Normal 5 2 3 3 2 2 2" xfId="5633" xr:uid="{D0B3AF27-30A1-49FB-BFA2-C0AADB887E32}"/>
    <cellStyle name="Normal 5 2 3 3 2 2 2 2" xfId="9851" xr:uid="{612775D3-55E9-4B18-B4B3-2C78C9D70267}"/>
    <cellStyle name="Normal 5 2 3 3 2 2 3" xfId="7706" xr:uid="{00001E7E-716F-4A31-954D-DEF78DDE2A60}"/>
    <cellStyle name="Normal 5 2 3 3 2 2 4" xfId="3404" xr:uid="{8FC3F729-C55E-49B7-A3E7-4BB88523F42E}"/>
    <cellStyle name="Normal 5 2 3 3 2 2 5" xfId="2575" xr:uid="{EF6A90DF-38A3-4F6E-A752-CFEAD7D63409}"/>
    <cellStyle name="Normal 5 2 3 3 2 2 6" xfId="1746" xr:uid="{A6CC81B1-061E-499A-96C4-E755E599C5A2}"/>
    <cellStyle name="Normal 5 2 3 3 2 3" xfId="3817" xr:uid="{CE68142B-F32F-4961-8746-DDD81EA63E6B}"/>
    <cellStyle name="Normal 5 2 3 3 2 3 2" xfId="6046" xr:uid="{F5D693C7-7D44-4943-B940-CD4B208101AE}"/>
    <cellStyle name="Normal 5 2 3 3 2 3 2 2" xfId="10264" xr:uid="{FB999D93-BCEB-4EFE-B163-CE2743B418A0}"/>
    <cellStyle name="Normal 5 2 3 3 2 3 3" xfId="8119" xr:uid="{D6C72D0E-38EE-4F37-8760-8937D105C3FE}"/>
    <cellStyle name="Normal 5 2 3 3 2 4" xfId="4230" xr:uid="{0800D8B7-175C-42BF-81E9-9EEA7A67BFE7}"/>
    <cellStyle name="Normal 5 2 3 3 2 4 2" xfId="6459" xr:uid="{E9F5B4C8-190A-4216-9491-05D1980E8D59}"/>
    <cellStyle name="Normal 5 2 3 3 2 4 2 2" xfId="10677" xr:uid="{AEF6E909-D561-470B-B9D9-B54F1F728CD2}"/>
    <cellStyle name="Normal 5 2 3 3 2 4 3" xfId="8532" xr:uid="{D05231F2-A575-48FC-8F03-98D71493D35F}"/>
    <cellStyle name="Normal 5 2 3 3 2 5" xfId="4643" xr:uid="{B82A90BD-0E7F-46A9-9F80-5E60C98ACC36}"/>
    <cellStyle name="Normal 5 2 3 3 2 5 2" xfId="6872" xr:uid="{54604BDA-1FDC-4CA6-A3EB-84CE6818AB98}"/>
    <cellStyle name="Normal 5 2 3 3 2 5 2 2" xfId="11090" xr:uid="{5FA8787D-1391-427E-8BC1-5C18D569E852}"/>
    <cellStyle name="Normal 5 2 3 3 2 5 3" xfId="8945" xr:uid="{B9814AAA-3D27-4769-8BA7-C77F065974CF}"/>
    <cellStyle name="Normal 5 2 3 3 2 6" xfId="5079" xr:uid="{785738FF-94BF-4135-BFB8-C4057D5FC218}"/>
    <cellStyle name="Normal 5 2 3 3 2 6 2" xfId="9358" xr:uid="{09CD0AC8-7F58-4894-AE0E-E5831855B6ED}"/>
    <cellStyle name="Normal 5 2 3 3 2 7" xfId="7293" xr:uid="{7383A253-96A3-4B42-BEEA-06E8A7520A12}"/>
    <cellStyle name="Normal 5 2 3 3 2 8" xfId="2989" xr:uid="{7F711CA6-1C8F-459C-8F9B-B3C8F2CE5B5F}"/>
    <cellStyle name="Normal 5 2 3 3 2 9" xfId="2159" xr:uid="{F4CF14C7-E96C-4925-B2E1-65E2CE7C93F9}"/>
    <cellStyle name="Normal 5 2 3 3 3" xfId="911" xr:uid="{00000000-0005-0000-0000-000000030000}"/>
    <cellStyle name="Normal 5 2 3 3 3 2" xfId="5632" xr:uid="{331E9C2A-EB02-480E-9BD7-528E1060AFE2}"/>
    <cellStyle name="Normal 5 2 3 3 3 2 2" xfId="9850" xr:uid="{DEA47A29-F450-4F71-A5CB-20F420783701}"/>
    <cellStyle name="Normal 5 2 3 3 3 3" xfId="7705" xr:uid="{0DA3D82A-8ECC-4BEB-AE1E-E7BEA90670E1}"/>
    <cellStyle name="Normal 5 2 3 3 3 4" xfId="3403" xr:uid="{CA5E699D-4C52-4A97-B69A-37B090313B39}"/>
    <cellStyle name="Normal 5 2 3 3 3 5" xfId="2574" xr:uid="{89E80D7F-5FA7-4BF2-89E2-EFB739A7D77A}"/>
    <cellStyle name="Normal 5 2 3 3 3 6" xfId="1745" xr:uid="{1496C27D-AD7A-4AC7-AA76-C304A4D33113}"/>
    <cellStyle name="Normal 5 2 3 3 4" xfId="3816" xr:uid="{00124E17-FCA0-49E4-A7CD-1810102B06E7}"/>
    <cellStyle name="Normal 5 2 3 3 4 2" xfId="6045" xr:uid="{34BC7F0E-0E96-428B-9E23-DB1158F5D229}"/>
    <cellStyle name="Normal 5 2 3 3 4 2 2" xfId="10263" xr:uid="{B6040571-4BAE-4E7B-9EA8-9718B23072C1}"/>
    <cellStyle name="Normal 5 2 3 3 4 3" xfId="8118" xr:uid="{347897DA-4AE4-4DFE-B9D8-3CA815E3267A}"/>
    <cellStyle name="Normal 5 2 3 3 5" xfId="4229" xr:uid="{8DC561F1-9DDF-4664-9672-02082B07F1C0}"/>
    <cellStyle name="Normal 5 2 3 3 5 2" xfId="6458" xr:uid="{CAE6D6C1-2A8C-40E3-8CBD-66387A1C0A81}"/>
    <cellStyle name="Normal 5 2 3 3 5 2 2" xfId="10676" xr:uid="{46497D76-AF91-44AE-B40B-E4AD60B89214}"/>
    <cellStyle name="Normal 5 2 3 3 5 3" xfId="8531" xr:uid="{5B99A3A3-14EB-4EB6-90F2-B65A444808F7}"/>
    <cellStyle name="Normal 5 2 3 3 6" xfId="4642" xr:uid="{40551F2C-1FE9-43B9-8435-73A49FE8AED0}"/>
    <cellStyle name="Normal 5 2 3 3 6 2" xfId="6871" xr:uid="{34735815-D8F5-4EBB-B7B9-7D2911235C95}"/>
    <cellStyle name="Normal 5 2 3 3 6 2 2" xfId="11089" xr:uid="{7B8EBD01-106D-4707-A308-C8A18335A31E}"/>
    <cellStyle name="Normal 5 2 3 3 6 3" xfId="8944" xr:uid="{F943A8C4-38D8-4C64-A468-034B73EB9560}"/>
    <cellStyle name="Normal 5 2 3 3 7" xfId="5078" xr:uid="{9DFC337A-FFEC-4546-8300-8DFBF108F8F1}"/>
    <cellStyle name="Normal 5 2 3 3 7 2" xfId="9357" xr:uid="{250E00E9-AB49-4B0B-AA36-61D84525DFFE}"/>
    <cellStyle name="Normal 5 2 3 3 8" xfId="7292" xr:uid="{65EAAF1C-5293-4164-95D0-E37D4E0A892A}"/>
    <cellStyle name="Normal 5 2 3 3 9" xfId="2988" xr:uid="{AB08CB08-0493-4599-8B1F-B196ADF83E1B}"/>
    <cellStyle name="Normal 5 2 3 4" xfId="434" xr:uid="{00000000-0005-0000-0000-000001030000}"/>
    <cellStyle name="Normal 5 2 3 4 10" xfId="1331" xr:uid="{B9FD978A-934B-46B7-97F5-562F6454B7A2}"/>
    <cellStyle name="Normal 5 2 3 4 2" xfId="913" xr:uid="{00000000-0005-0000-0000-000002030000}"/>
    <cellStyle name="Normal 5 2 3 4 2 2" xfId="5634" xr:uid="{8D50AA0E-A280-449D-B683-AAB8C97EBF68}"/>
    <cellStyle name="Normal 5 2 3 4 2 2 2" xfId="9852" xr:uid="{8BA88740-62D2-4A41-8EFE-2B435A626E26}"/>
    <cellStyle name="Normal 5 2 3 4 2 3" xfId="7707" xr:uid="{145EBA60-FEF6-4DFE-8132-5B4805640FC6}"/>
    <cellStyle name="Normal 5 2 3 4 2 4" xfId="3405" xr:uid="{904BB1D7-49E8-4C4F-B71E-CC50BC2E7A9F}"/>
    <cellStyle name="Normal 5 2 3 4 2 5" xfId="2576" xr:uid="{6015FE76-FA12-42ED-B21E-BBAEC467D052}"/>
    <cellStyle name="Normal 5 2 3 4 2 6" xfId="1747" xr:uid="{0102FDD9-311F-49FD-81B8-CA90B0CF4D97}"/>
    <cellStyle name="Normal 5 2 3 4 3" xfId="3818" xr:uid="{E798EF63-084E-4FF9-97E8-E6E6960FB536}"/>
    <cellStyle name="Normal 5 2 3 4 3 2" xfId="6047" xr:uid="{8A35171E-D83C-4F93-BB8C-4299AC9896A9}"/>
    <cellStyle name="Normal 5 2 3 4 3 2 2" xfId="10265" xr:uid="{462A79CB-C226-4A93-A634-D0842C6098DB}"/>
    <cellStyle name="Normal 5 2 3 4 3 3" xfId="8120" xr:uid="{BAC75311-0745-431B-800E-E42CEC2C70B4}"/>
    <cellStyle name="Normal 5 2 3 4 4" xfId="4231" xr:uid="{2497BA1E-BD36-4137-BEA3-33FB67899CF0}"/>
    <cellStyle name="Normal 5 2 3 4 4 2" xfId="6460" xr:uid="{4903E1BC-FECA-4536-96FA-A88CFC1D79AF}"/>
    <cellStyle name="Normal 5 2 3 4 4 2 2" xfId="10678" xr:uid="{9E495810-81D5-48CA-90C0-27902562099B}"/>
    <cellStyle name="Normal 5 2 3 4 4 3" xfId="8533" xr:uid="{DB315F22-330B-48B1-80C5-4741F6A49708}"/>
    <cellStyle name="Normal 5 2 3 4 5" xfId="4644" xr:uid="{147297CC-9676-4DB4-A92E-5F1935BC227A}"/>
    <cellStyle name="Normal 5 2 3 4 5 2" xfId="6873" xr:uid="{329D323B-E74C-4C4C-AB32-1F557433679D}"/>
    <cellStyle name="Normal 5 2 3 4 5 2 2" xfId="11091" xr:uid="{9AADED0A-727B-4C47-A798-ED84F8D8A679}"/>
    <cellStyle name="Normal 5 2 3 4 5 3" xfId="8946" xr:uid="{6C4CD4A9-6335-4F69-829E-BA62A40040CB}"/>
    <cellStyle name="Normal 5 2 3 4 6" xfId="5080" xr:uid="{AB04A96E-1AF5-4648-905F-C9C338701000}"/>
    <cellStyle name="Normal 5 2 3 4 6 2" xfId="9359" xr:uid="{5F91B1E6-323C-4A34-9D71-F57E024C8795}"/>
    <cellStyle name="Normal 5 2 3 4 7" xfId="7294" xr:uid="{1C7D66CC-D358-4617-9702-B941F819727B}"/>
    <cellStyle name="Normal 5 2 3 4 8" xfId="2990" xr:uid="{712B3866-1699-40CA-AA16-B297019160E2}"/>
    <cellStyle name="Normal 5 2 3 4 9" xfId="2160" xr:uid="{595873FF-F11C-4AE5-9386-CACC308C9474}"/>
    <cellStyle name="Normal 5 2 3 5" xfId="906" xr:uid="{00000000-0005-0000-0000-000003030000}"/>
    <cellStyle name="Normal 5 2 3 5 2" xfId="5627" xr:uid="{36B72511-6262-4D52-B2D7-A070F2BD713A}"/>
    <cellStyle name="Normal 5 2 3 5 2 2" xfId="9845" xr:uid="{A965956E-A73E-424D-95E7-A8A9CCC5D42F}"/>
    <cellStyle name="Normal 5 2 3 5 3" xfId="7700" xr:uid="{4B371627-F2A5-43D7-B21B-69E864CABB15}"/>
    <cellStyle name="Normal 5 2 3 5 4" xfId="3398" xr:uid="{AF74ADF0-5297-41E4-BAB0-E5E945A422B1}"/>
    <cellStyle name="Normal 5 2 3 5 5" xfId="2569" xr:uid="{7ACA7E0A-4F8A-4473-9C1F-A9CA12583E68}"/>
    <cellStyle name="Normal 5 2 3 5 6" xfId="1740" xr:uid="{C34A2BDA-C80D-46E0-A6AD-FD2189D8AC70}"/>
    <cellStyle name="Normal 5 2 3 6" xfId="3811" xr:uid="{B5635279-F542-4B8A-8419-5A38DC41244E}"/>
    <cellStyle name="Normal 5 2 3 6 2" xfId="6040" xr:uid="{9D703849-57A7-44F3-85FF-8044FC220702}"/>
    <cellStyle name="Normal 5 2 3 6 2 2" xfId="10258" xr:uid="{A4EF1FCC-485A-4DF4-8CF0-1CC49C023EA8}"/>
    <cellStyle name="Normal 5 2 3 6 3" xfId="8113" xr:uid="{6A07560A-2264-4466-866A-1272F74EF79C}"/>
    <cellStyle name="Normal 5 2 3 7" xfId="4224" xr:uid="{D3ABFAF4-C313-4077-AF7C-3796D121B259}"/>
    <cellStyle name="Normal 5 2 3 7 2" xfId="6453" xr:uid="{723D23CC-3480-4DE5-94B7-6BA2D67753B4}"/>
    <cellStyle name="Normal 5 2 3 7 2 2" xfId="10671" xr:uid="{B9FB6DE7-1018-4FF0-9F91-484879F48824}"/>
    <cellStyle name="Normal 5 2 3 7 3" xfId="8526" xr:uid="{93C9829C-BEB4-44F1-BAB3-0E13F3DC8DCA}"/>
    <cellStyle name="Normal 5 2 3 8" xfId="4637" xr:uid="{E5421892-B2ED-4FB3-87A3-D82DDD1D9419}"/>
    <cellStyle name="Normal 5 2 3 8 2" xfId="6866" xr:uid="{2A4C04B1-5125-45F2-B6E8-FD34EA7CABE2}"/>
    <cellStyle name="Normal 5 2 3 8 2 2" xfId="11084" xr:uid="{F1962C18-A2C1-4A7B-A60F-D24C3625BCAA}"/>
    <cellStyle name="Normal 5 2 3 8 3" xfId="8939" xr:uid="{C5B87AFC-AE11-44D2-AA75-8D4EE9E06F2B}"/>
    <cellStyle name="Normal 5 2 3 9" xfId="5073" xr:uid="{8BD2BB86-B331-4509-9B3C-8AF908AAFFAE}"/>
    <cellStyle name="Normal 5 2 3 9 2" xfId="9352" xr:uid="{F6C97AF4-AFC6-429D-BA6D-1843605209AC}"/>
    <cellStyle name="Normal 5 2 4" xfId="435" xr:uid="{00000000-0005-0000-0000-000004030000}"/>
    <cellStyle name="Normal 5 2 4 10" xfId="2991" xr:uid="{C46291E1-3908-447A-A5F2-55C383DE9E4B}"/>
    <cellStyle name="Normal 5 2 4 11" xfId="2161" xr:uid="{681129C9-C7F2-445C-B918-5B88B0BFE49D}"/>
    <cellStyle name="Normal 5 2 4 12" xfId="1332" xr:uid="{480C4F49-B776-4AB2-9CDF-B352477CFF8B}"/>
    <cellStyle name="Normal 5 2 4 2" xfId="436" xr:uid="{00000000-0005-0000-0000-000005030000}"/>
    <cellStyle name="Normal 5 2 4 2 10" xfId="2162" xr:uid="{00B8CDA3-2CF8-4B48-A742-99598F9CFEF2}"/>
    <cellStyle name="Normal 5 2 4 2 11" xfId="1333" xr:uid="{23F8A338-ED56-47C1-B9A7-CDBCA12F8270}"/>
    <cellStyle name="Normal 5 2 4 2 2" xfId="437" xr:uid="{00000000-0005-0000-0000-000006030000}"/>
    <cellStyle name="Normal 5 2 4 2 2 10" xfId="1334" xr:uid="{3DDD5671-091C-4415-9F6C-E338E7019787}"/>
    <cellStyle name="Normal 5 2 4 2 2 2" xfId="916" xr:uid="{00000000-0005-0000-0000-000007030000}"/>
    <cellStyle name="Normal 5 2 4 2 2 2 2" xfId="5637" xr:uid="{B14C45D8-0E4D-4A9E-B7AC-C2B676C4E498}"/>
    <cellStyle name="Normal 5 2 4 2 2 2 2 2" xfId="9855" xr:uid="{3433D09D-BBB6-4A8A-88B4-64DC7579111E}"/>
    <cellStyle name="Normal 5 2 4 2 2 2 3" xfId="7710" xr:uid="{3B418EAC-2AC6-4A92-8225-23AE2AE2003F}"/>
    <cellStyle name="Normal 5 2 4 2 2 2 4" xfId="3408" xr:uid="{771DEE73-A740-4743-9B02-168491178732}"/>
    <cellStyle name="Normal 5 2 4 2 2 2 5" xfId="2579" xr:uid="{7E080AF7-8240-411C-82B9-A778C639A697}"/>
    <cellStyle name="Normal 5 2 4 2 2 2 6" xfId="1750" xr:uid="{AEFD482A-725B-467F-B161-D66EEEAEB33A}"/>
    <cellStyle name="Normal 5 2 4 2 2 3" xfId="3821" xr:uid="{B3E17C40-F91B-4893-A608-013F0E8BD258}"/>
    <cellStyle name="Normal 5 2 4 2 2 3 2" xfId="6050" xr:uid="{D49AAED2-64AC-4E09-9156-CEC7D9B4654C}"/>
    <cellStyle name="Normal 5 2 4 2 2 3 2 2" xfId="10268" xr:uid="{2D6A744D-45E3-415D-94C9-9E22BA47C240}"/>
    <cellStyle name="Normal 5 2 4 2 2 3 3" xfId="8123" xr:uid="{D5357987-56FC-4B08-B23B-D133055B0BDF}"/>
    <cellStyle name="Normal 5 2 4 2 2 4" xfId="4234" xr:uid="{06817854-7D94-4E7B-9F95-274EB9E604D0}"/>
    <cellStyle name="Normal 5 2 4 2 2 4 2" xfId="6463" xr:uid="{B42E8029-0908-494F-9CC5-416FB2B80897}"/>
    <cellStyle name="Normal 5 2 4 2 2 4 2 2" xfId="10681" xr:uid="{15524D66-22EF-48CE-A8B5-8A9676572F5B}"/>
    <cellStyle name="Normal 5 2 4 2 2 4 3" xfId="8536" xr:uid="{192D97CB-FE03-4444-A78C-4577EDE21E28}"/>
    <cellStyle name="Normal 5 2 4 2 2 5" xfId="4647" xr:uid="{D30B7154-F2A6-4AFC-8B90-116F87A29290}"/>
    <cellStyle name="Normal 5 2 4 2 2 5 2" xfId="6876" xr:uid="{F1713CAC-E1CC-4DF4-A36F-B08621B36E01}"/>
    <cellStyle name="Normal 5 2 4 2 2 5 2 2" xfId="11094" xr:uid="{E3AFB802-82F2-4BC1-AADA-62CCE13C9F55}"/>
    <cellStyle name="Normal 5 2 4 2 2 5 3" xfId="8949" xr:uid="{C16A8721-7541-49F2-ACC9-DF17D6008D1C}"/>
    <cellStyle name="Normal 5 2 4 2 2 6" xfId="5083" xr:uid="{2735B565-E48E-47B7-8E3D-B65EFC381B64}"/>
    <cellStyle name="Normal 5 2 4 2 2 6 2" xfId="9362" xr:uid="{F99D4844-DFA1-4C50-9BA6-07C249463F20}"/>
    <cellStyle name="Normal 5 2 4 2 2 7" xfId="7297" xr:uid="{7DAF0D20-3B79-404E-857B-7BB40E3F09C8}"/>
    <cellStyle name="Normal 5 2 4 2 2 8" xfId="2993" xr:uid="{E51D1628-E6B3-468E-A2D3-C617D3DD11E3}"/>
    <cellStyle name="Normal 5 2 4 2 2 9" xfId="2163" xr:uid="{2046CC98-18F6-4919-8A25-E3E65AEEACC0}"/>
    <cellStyle name="Normal 5 2 4 2 3" xfId="915" xr:uid="{00000000-0005-0000-0000-000008030000}"/>
    <cellStyle name="Normal 5 2 4 2 3 2" xfId="5636" xr:uid="{BC124A43-5308-400F-BD5B-FA15111F024C}"/>
    <cellStyle name="Normal 5 2 4 2 3 2 2" xfId="9854" xr:uid="{4AE7CC30-A4E2-4345-8BAA-BCBB63924D3D}"/>
    <cellStyle name="Normal 5 2 4 2 3 3" xfId="7709" xr:uid="{D3577385-8EF1-4550-BCAE-6558777BAA66}"/>
    <cellStyle name="Normal 5 2 4 2 3 4" xfId="3407" xr:uid="{587166B4-43B2-4B8F-800A-680DF3A99792}"/>
    <cellStyle name="Normal 5 2 4 2 3 5" xfId="2578" xr:uid="{08338C93-6131-4F1F-90BD-DCF8446E77FB}"/>
    <cellStyle name="Normal 5 2 4 2 3 6" xfId="1749" xr:uid="{FE1EF100-2689-495E-8F72-D687092EDF4E}"/>
    <cellStyle name="Normal 5 2 4 2 4" xfId="3820" xr:uid="{28C6DAE9-BA8C-4614-811F-572D73DC56DD}"/>
    <cellStyle name="Normal 5 2 4 2 4 2" xfId="6049" xr:uid="{1F32019F-7028-489B-9A32-4146DCF7A925}"/>
    <cellStyle name="Normal 5 2 4 2 4 2 2" xfId="10267" xr:uid="{2ED21325-258C-4A24-820F-09D9BB84D219}"/>
    <cellStyle name="Normal 5 2 4 2 4 3" xfId="8122" xr:uid="{FE97716C-73FA-46B3-8B20-BA1B2F236BB5}"/>
    <cellStyle name="Normal 5 2 4 2 5" xfId="4233" xr:uid="{3A71B81B-9FAF-4F92-90DA-720231D7013D}"/>
    <cellStyle name="Normal 5 2 4 2 5 2" xfId="6462" xr:uid="{FEB53339-08A8-47E5-8EC2-F5503F4C4ADF}"/>
    <cellStyle name="Normal 5 2 4 2 5 2 2" xfId="10680" xr:uid="{FF9E24F5-0EC8-4CA1-8A95-33D833DFAF97}"/>
    <cellStyle name="Normal 5 2 4 2 5 3" xfId="8535" xr:uid="{C774D125-2307-4B6A-9CB4-893B05B53B3C}"/>
    <cellStyle name="Normal 5 2 4 2 6" xfId="4646" xr:uid="{27ADAB01-CFEF-4FEF-A8DA-55BAF273B9D9}"/>
    <cellStyle name="Normal 5 2 4 2 6 2" xfId="6875" xr:uid="{35A538E9-621A-45BF-BC49-BB10FA85E67B}"/>
    <cellStyle name="Normal 5 2 4 2 6 2 2" xfId="11093" xr:uid="{9158B623-FBE7-4F9B-9698-2DA314C681FF}"/>
    <cellStyle name="Normal 5 2 4 2 6 3" xfId="8948" xr:uid="{A462732C-0030-4854-8429-D3F8E020C184}"/>
    <cellStyle name="Normal 5 2 4 2 7" xfId="5082" xr:uid="{CFD1F208-3FA2-4C72-B3AC-E47B52C18460}"/>
    <cellStyle name="Normal 5 2 4 2 7 2" xfId="9361" xr:uid="{3C66AA94-1B02-499A-8C50-21ED2AC4009A}"/>
    <cellStyle name="Normal 5 2 4 2 8" xfId="7296" xr:uid="{F9628C64-C831-4FAE-99A0-2E7C79E6CE14}"/>
    <cellStyle name="Normal 5 2 4 2 9" xfId="2992" xr:uid="{C1651DA8-D894-4FF5-B941-DF704A87E343}"/>
    <cellStyle name="Normal 5 2 4 3" xfId="438" xr:uid="{00000000-0005-0000-0000-000009030000}"/>
    <cellStyle name="Normal 5 2 4 3 10" xfId="1335" xr:uid="{77D3F5C2-0999-4CC2-B57A-56CECC34DEB7}"/>
    <cellStyle name="Normal 5 2 4 3 2" xfId="917" xr:uid="{00000000-0005-0000-0000-00000A030000}"/>
    <cellStyle name="Normal 5 2 4 3 2 2" xfId="5638" xr:uid="{2B3D06AA-288F-457E-A55C-915A18E71FE9}"/>
    <cellStyle name="Normal 5 2 4 3 2 2 2" xfId="9856" xr:uid="{A8F57F68-F68D-4463-8193-276D5A6ED3E5}"/>
    <cellStyle name="Normal 5 2 4 3 2 3" xfId="7711" xr:uid="{FABD7CEA-0FC7-40A0-8C7D-30B1D8822B84}"/>
    <cellStyle name="Normal 5 2 4 3 2 4" xfId="3409" xr:uid="{70FA1972-BE62-4B05-BDD5-E7BBC5887D63}"/>
    <cellStyle name="Normal 5 2 4 3 2 5" xfId="2580" xr:uid="{25B12210-AF05-47A8-B797-12470125F37E}"/>
    <cellStyle name="Normal 5 2 4 3 2 6" xfId="1751" xr:uid="{B9C03011-0207-477F-B449-89E3E5BA21D2}"/>
    <cellStyle name="Normal 5 2 4 3 3" xfId="3822" xr:uid="{08A91670-2AD5-41F9-BD0B-A0FC725B7DF8}"/>
    <cellStyle name="Normal 5 2 4 3 3 2" xfId="6051" xr:uid="{E3B7D118-04CA-45F4-A9CD-5D4F8E0250EB}"/>
    <cellStyle name="Normal 5 2 4 3 3 2 2" xfId="10269" xr:uid="{47D09C36-B33D-4D70-9F96-80058AB2E140}"/>
    <cellStyle name="Normal 5 2 4 3 3 3" xfId="8124" xr:uid="{230B2D1A-58A4-4F9D-BD32-B348636EEB29}"/>
    <cellStyle name="Normal 5 2 4 3 4" xfId="4235" xr:uid="{8D7F6F1C-5D66-4EBA-BC48-FEA3177DACEB}"/>
    <cellStyle name="Normal 5 2 4 3 4 2" xfId="6464" xr:uid="{B5801C91-72D4-47A8-87B0-4446D006F663}"/>
    <cellStyle name="Normal 5 2 4 3 4 2 2" xfId="10682" xr:uid="{A58D9FD4-7A95-491E-BA7D-66E4DAC4FC0A}"/>
    <cellStyle name="Normal 5 2 4 3 4 3" xfId="8537" xr:uid="{AEEB9CCB-9CBB-4B44-8D4D-002C033CD63F}"/>
    <cellStyle name="Normal 5 2 4 3 5" xfId="4648" xr:uid="{111D9D65-B995-4510-8615-36597F536B11}"/>
    <cellStyle name="Normal 5 2 4 3 5 2" xfId="6877" xr:uid="{2C24200D-443D-4BAD-9FEB-58DC2DFE063D}"/>
    <cellStyle name="Normal 5 2 4 3 5 2 2" xfId="11095" xr:uid="{26959572-CCD0-4E8A-81E8-0D53153E1DDD}"/>
    <cellStyle name="Normal 5 2 4 3 5 3" xfId="8950" xr:uid="{1EFF9627-1F8F-4F70-B13F-50D62B63C658}"/>
    <cellStyle name="Normal 5 2 4 3 6" xfId="5084" xr:uid="{01C47D14-EDFF-4455-B8E0-2179911C6A8F}"/>
    <cellStyle name="Normal 5 2 4 3 6 2" xfId="9363" xr:uid="{C89270AA-2BB1-4D92-9D2D-F398F6D8B412}"/>
    <cellStyle name="Normal 5 2 4 3 7" xfId="7298" xr:uid="{4AE32BA4-1E02-41A8-9C4E-0475BE9D5344}"/>
    <cellStyle name="Normal 5 2 4 3 8" xfId="2994" xr:uid="{8F60A061-0B59-407A-9C07-D2C676AD0FDA}"/>
    <cellStyle name="Normal 5 2 4 3 9" xfId="2164" xr:uid="{4EDB0C2C-FEED-4662-B6D7-AFA5282CE172}"/>
    <cellStyle name="Normal 5 2 4 4" xfId="914" xr:uid="{00000000-0005-0000-0000-00000B030000}"/>
    <cellStyle name="Normal 5 2 4 4 2" xfId="5635" xr:uid="{31DB535F-C1A4-4CDB-B555-614DFD88E1DC}"/>
    <cellStyle name="Normal 5 2 4 4 2 2" xfId="9853" xr:uid="{DF320F7B-78C1-41CC-B97C-25550F3A598A}"/>
    <cellStyle name="Normal 5 2 4 4 3" xfId="7708" xr:uid="{E6D96D0C-DC84-4C8D-BE06-E56B13F22781}"/>
    <cellStyle name="Normal 5 2 4 4 4" xfId="3406" xr:uid="{2483D8CB-D646-4139-BCC5-2D421B048501}"/>
    <cellStyle name="Normal 5 2 4 4 5" xfId="2577" xr:uid="{26B04130-E0CF-42A8-8275-C7036058A5FB}"/>
    <cellStyle name="Normal 5 2 4 4 6" xfId="1748" xr:uid="{1E25893D-AF02-43B6-9748-B48E1D85FF5D}"/>
    <cellStyle name="Normal 5 2 4 5" xfId="3819" xr:uid="{A5FC4A2C-8235-497B-8398-31B37637A9ED}"/>
    <cellStyle name="Normal 5 2 4 5 2" xfId="6048" xr:uid="{708A7709-7AB5-43E1-81D1-77DCC8BF1A0E}"/>
    <cellStyle name="Normal 5 2 4 5 2 2" xfId="10266" xr:uid="{401D4EC5-7E2B-43E6-8CCA-93746F30A2E3}"/>
    <cellStyle name="Normal 5 2 4 5 3" xfId="8121" xr:uid="{55B5E786-616C-460A-A7AB-76CCD663989D}"/>
    <cellStyle name="Normal 5 2 4 6" xfId="4232" xr:uid="{9134178F-E1A2-4FF5-BA00-AEC292740810}"/>
    <cellStyle name="Normal 5 2 4 6 2" xfId="6461" xr:uid="{BA23A770-FCD6-45C4-A86E-5379730BB065}"/>
    <cellStyle name="Normal 5 2 4 6 2 2" xfId="10679" xr:uid="{8D2A6ED3-7718-4E79-B16A-E890BD064845}"/>
    <cellStyle name="Normal 5 2 4 6 3" xfId="8534" xr:uid="{61B509B1-B178-4178-9095-EF3DCCD8A49A}"/>
    <cellStyle name="Normal 5 2 4 7" xfId="4645" xr:uid="{A9750181-AFCF-4D46-BFD2-6046D8B9B020}"/>
    <cellStyle name="Normal 5 2 4 7 2" xfId="6874" xr:uid="{BF7DE141-49FB-410D-8D66-512F9CB3CF4F}"/>
    <cellStyle name="Normal 5 2 4 7 2 2" xfId="11092" xr:uid="{A774C7B4-4A9B-4363-868E-93F50FB14D56}"/>
    <cellStyle name="Normal 5 2 4 7 3" xfId="8947" xr:uid="{34072366-9D16-452F-B6D3-250AD54A53F3}"/>
    <cellStyle name="Normal 5 2 4 8" xfId="5081" xr:uid="{316CD3F6-0D89-4897-8D94-6A00B3273546}"/>
    <cellStyle name="Normal 5 2 4 8 2" xfId="9360" xr:uid="{1723FDE4-F161-45CB-B715-C52D3B825FEA}"/>
    <cellStyle name="Normal 5 2 4 9" xfId="7295" xr:uid="{E80209DE-CA7F-46D4-BA44-A9D996251053}"/>
    <cellStyle name="Normal 5 2 5" xfId="439" xr:uid="{00000000-0005-0000-0000-00000C030000}"/>
    <cellStyle name="Normal 5 2 5 10" xfId="2165" xr:uid="{708204E6-AA02-4733-9653-129821240E8A}"/>
    <cellStyle name="Normal 5 2 5 11" xfId="1336" xr:uid="{B9419BF8-36BF-47E0-9513-17A6E29579F5}"/>
    <cellStyle name="Normal 5 2 5 2" xfId="440" xr:uid="{00000000-0005-0000-0000-00000D030000}"/>
    <cellStyle name="Normal 5 2 5 2 10" xfId="1337" xr:uid="{461E044B-3133-421F-BB83-E00B065A051C}"/>
    <cellStyle name="Normal 5 2 5 2 2" xfId="919" xr:uid="{00000000-0005-0000-0000-00000E030000}"/>
    <cellStyle name="Normal 5 2 5 2 2 2" xfId="5640" xr:uid="{53D22F56-4172-42CE-8DF7-AF75FBD62779}"/>
    <cellStyle name="Normal 5 2 5 2 2 2 2" xfId="9858" xr:uid="{2AF8CF89-804B-4F4D-A493-3AAA1FC8EB95}"/>
    <cellStyle name="Normal 5 2 5 2 2 3" xfId="7713" xr:uid="{23511921-7988-4FF3-AC07-BFF6004E6147}"/>
    <cellStyle name="Normal 5 2 5 2 2 4" xfId="3411" xr:uid="{3284B9A0-EE0B-4454-85C8-9AFD0A5EBACC}"/>
    <cellStyle name="Normal 5 2 5 2 2 5" xfId="2582" xr:uid="{9E74A813-53DF-4197-BD50-5BAA9F6AD871}"/>
    <cellStyle name="Normal 5 2 5 2 2 6" xfId="1753" xr:uid="{B2200BDD-25E3-48AB-8B80-6761E6289E92}"/>
    <cellStyle name="Normal 5 2 5 2 3" xfId="3824" xr:uid="{60CDC4A9-A7F0-4EE0-AF4A-BF2BC81341B8}"/>
    <cellStyle name="Normal 5 2 5 2 3 2" xfId="6053" xr:uid="{5C6458EC-F156-4C20-AAC7-CC0C3E79D1EC}"/>
    <cellStyle name="Normal 5 2 5 2 3 2 2" xfId="10271" xr:uid="{A9566256-E43C-4B05-9457-4EFAF07619C9}"/>
    <cellStyle name="Normal 5 2 5 2 3 3" xfId="8126" xr:uid="{5A74ADB9-AEB9-4EAA-8228-93DE8604710B}"/>
    <cellStyle name="Normal 5 2 5 2 4" xfId="4237" xr:uid="{7B1B85F5-38B6-4742-9A03-56145DF19A3B}"/>
    <cellStyle name="Normal 5 2 5 2 4 2" xfId="6466" xr:uid="{E31E2E77-B424-423A-9263-FE3ED8934474}"/>
    <cellStyle name="Normal 5 2 5 2 4 2 2" xfId="10684" xr:uid="{EFC42125-ECF0-4552-B229-817555DD7EA3}"/>
    <cellStyle name="Normal 5 2 5 2 4 3" xfId="8539" xr:uid="{F42FEE85-1F3C-49A8-8E8E-ECE9AE051D10}"/>
    <cellStyle name="Normal 5 2 5 2 5" xfId="4650" xr:uid="{A6AC334C-CDD1-4DC6-9ADC-293EEE296886}"/>
    <cellStyle name="Normal 5 2 5 2 5 2" xfId="6879" xr:uid="{CBD8DF40-0E63-460D-AADD-3ADBBA353825}"/>
    <cellStyle name="Normal 5 2 5 2 5 2 2" xfId="11097" xr:uid="{DBD9DC8A-FCF4-4AB3-8D56-35149BA5520C}"/>
    <cellStyle name="Normal 5 2 5 2 5 3" xfId="8952" xr:uid="{792F08BA-BB09-49F0-9DD0-950EE4E0358E}"/>
    <cellStyle name="Normal 5 2 5 2 6" xfId="5086" xr:uid="{9AB7C151-183B-4DEE-856D-CC0EC63AAD64}"/>
    <cellStyle name="Normal 5 2 5 2 6 2" xfId="9365" xr:uid="{91862ACB-61E3-4001-837F-52F6596F9597}"/>
    <cellStyle name="Normal 5 2 5 2 7" xfId="7300" xr:uid="{F64831CE-6CAD-4DBC-8508-AE928CC3C46A}"/>
    <cellStyle name="Normal 5 2 5 2 8" xfId="2996" xr:uid="{2F48DBF2-D5C2-402E-9C78-2A009A263F4F}"/>
    <cellStyle name="Normal 5 2 5 2 9" xfId="2166" xr:uid="{811A1D4F-73A5-4277-9E22-963CC16F3246}"/>
    <cellStyle name="Normal 5 2 5 3" xfId="918" xr:uid="{00000000-0005-0000-0000-00000F030000}"/>
    <cellStyle name="Normal 5 2 5 3 2" xfId="5639" xr:uid="{C772340F-547D-4B4B-9766-ABA4382F5890}"/>
    <cellStyle name="Normal 5 2 5 3 2 2" xfId="9857" xr:uid="{63C59D28-CF79-4C8A-80F8-EE7C1D48EC46}"/>
    <cellStyle name="Normal 5 2 5 3 3" xfId="7712" xr:uid="{5201D24E-3724-4676-B141-76BF8BEF76D4}"/>
    <cellStyle name="Normal 5 2 5 3 4" xfId="3410" xr:uid="{AA3B826C-6585-459B-AF81-435866B24DF6}"/>
    <cellStyle name="Normal 5 2 5 3 5" xfId="2581" xr:uid="{93840F2B-B5AB-4C1A-8B8E-FAABF2F4AF60}"/>
    <cellStyle name="Normal 5 2 5 3 6" xfId="1752" xr:uid="{69014668-CFA1-478C-A990-0F808E60FC0F}"/>
    <cellStyle name="Normal 5 2 5 4" xfId="3823" xr:uid="{34C18DD3-381B-4F28-98F3-90924C3B2D3F}"/>
    <cellStyle name="Normal 5 2 5 4 2" xfId="6052" xr:uid="{E296D5C1-EE06-4220-BF49-B888585206A1}"/>
    <cellStyle name="Normal 5 2 5 4 2 2" xfId="10270" xr:uid="{E2277AFD-CD2B-42A7-BE7E-30BE5F83FC4A}"/>
    <cellStyle name="Normal 5 2 5 4 3" xfId="8125" xr:uid="{262F6E5C-C457-4108-9B0C-840B9803598B}"/>
    <cellStyle name="Normal 5 2 5 5" xfId="4236" xr:uid="{18EE782E-0EEE-4D9F-A3CF-BB5C41C5F5B9}"/>
    <cellStyle name="Normal 5 2 5 5 2" xfId="6465" xr:uid="{CD61F791-B459-4CC2-809F-CBBFB7CA13F1}"/>
    <cellStyle name="Normal 5 2 5 5 2 2" xfId="10683" xr:uid="{9EF09BFB-7F89-4AD8-879E-8F772F822FE9}"/>
    <cellStyle name="Normal 5 2 5 5 3" xfId="8538" xr:uid="{56E994D3-5A29-46D7-B384-CC62D1888808}"/>
    <cellStyle name="Normal 5 2 5 6" xfId="4649" xr:uid="{B077CC69-44C8-4D23-AF65-5A2FCFA73D84}"/>
    <cellStyle name="Normal 5 2 5 6 2" xfId="6878" xr:uid="{B6AED9ED-7A87-44AD-84AF-B5C93AFC02F4}"/>
    <cellStyle name="Normal 5 2 5 6 2 2" xfId="11096" xr:uid="{CBE4F4FD-FB9D-43C4-BB9A-F1A76B2A9192}"/>
    <cellStyle name="Normal 5 2 5 6 3" xfId="8951" xr:uid="{F574DB8C-C2B0-4650-BCEA-EEAFED49A528}"/>
    <cellStyle name="Normal 5 2 5 7" xfId="5085" xr:uid="{C793CB2F-766C-4247-A886-51224C51148D}"/>
    <cellStyle name="Normal 5 2 5 7 2" xfId="9364" xr:uid="{0717662A-471F-4DBC-8BC9-DB17B48E8CD4}"/>
    <cellStyle name="Normal 5 2 5 8" xfId="7299" xr:uid="{574F8DA3-5370-460B-B172-405C12E4C07B}"/>
    <cellStyle name="Normal 5 2 5 9" xfId="2995" xr:uid="{A4ECA7C3-962E-42D0-97A6-A72FFD021A0C}"/>
    <cellStyle name="Normal 5 2 6" xfId="441" xr:uid="{00000000-0005-0000-0000-000010030000}"/>
    <cellStyle name="Normal 5 2 6 10" xfId="1338" xr:uid="{4DDCE9D9-7C7C-40AD-B543-BA558521A8E3}"/>
    <cellStyle name="Normal 5 2 6 2" xfId="920" xr:uid="{00000000-0005-0000-0000-000011030000}"/>
    <cellStyle name="Normal 5 2 6 2 2" xfId="5641" xr:uid="{1A69E4C3-C190-419E-BF30-3CA06EE38AAB}"/>
    <cellStyle name="Normal 5 2 6 2 2 2" xfId="9859" xr:uid="{7BF40930-A714-4B62-9CB7-582AB74BD51C}"/>
    <cellStyle name="Normal 5 2 6 2 3" xfId="7714" xr:uid="{4F6E54E2-E088-4291-8BE6-8716BF3C9B58}"/>
    <cellStyle name="Normal 5 2 6 2 4" xfId="3412" xr:uid="{6499A18D-0BFC-4F3A-B779-24F8D6F12E41}"/>
    <cellStyle name="Normal 5 2 6 2 5" xfId="2583" xr:uid="{A8D28596-DFB4-45C5-A658-2CA5E9A0BD67}"/>
    <cellStyle name="Normal 5 2 6 2 6" xfId="1754" xr:uid="{B4C02EF2-5FDC-4B08-BB69-F21710642C80}"/>
    <cellStyle name="Normal 5 2 6 3" xfId="3825" xr:uid="{48768F53-3CFF-4226-AE9F-755789D68FB3}"/>
    <cellStyle name="Normal 5 2 6 3 2" xfId="6054" xr:uid="{0DA9B0E0-2536-489B-B444-45462D8243BD}"/>
    <cellStyle name="Normal 5 2 6 3 2 2" xfId="10272" xr:uid="{E9AA2F94-E121-4365-B6AA-9B42987FBD26}"/>
    <cellStyle name="Normal 5 2 6 3 3" xfId="8127" xr:uid="{7712DF02-DB55-47E8-A58E-803D0FC65307}"/>
    <cellStyle name="Normal 5 2 6 4" xfId="4238" xr:uid="{FE6BFC35-9B58-408E-B9A1-8A1FB3DEAE93}"/>
    <cellStyle name="Normal 5 2 6 4 2" xfId="6467" xr:uid="{283F6396-C05B-4277-B8D1-105D5FED4C5E}"/>
    <cellStyle name="Normal 5 2 6 4 2 2" xfId="10685" xr:uid="{4C95EC85-F288-47FE-9595-554DB385A856}"/>
    <cellStyle name="Normal 5 2 6 4 3" xfId="8540" xr:uid="{B09B17C2-E24A-41BB-B20D-0D6ACBF3BBF4}"/>
    <cellStyle name="Normal 5 2 6 5" xfId="4651" xr:uid="{36FD92A8-CB16-4738-BCE6-82E40B3E2F6A}"/>
    <cellStyle name="Normal 5 2 6 5 2" xfId="6880" xr:uid="{A8834B87-DE87-462D-8577-B5D156679CDB}"/>
    <cellStyle name="Normal 5 2 6 5 2 2" xfId="11098" xr:uid="{286BF758-2946-4F62-B077-D0BE84D3ECBF}"/>
    <cellStyle name="Normal 5 2 6 5 3" xfId="8953" xr:uid="{0ADA28C1-3605-4644-9A66-97D3F2CFCFE4}"/>
    <cellStyle name="Normal 5 2 6 6" xfId="5087" xr:uid="{6063C557-B489-4269-A108-BA9C686BB3A6}"/>
    <cellStyle name="Normal 5 2 6 6 2" xfId="9366" xr:uid="{E12E965D-3A23-4146-8DD4-5A2261763F4B}"/>
    <cellStyle name="Normal 5 2 6 7" xfId="7301" xr:uid="{9F64F52D-6F68-41A8-B092-BFF091AD37D1}"/>
    <cellStyle name="Normal 5 2 6 8" xfId="2997" xr:uid="{07E39F42-533B-47AD-A5F8-F7BD5FDB80FC}"/>
    <cellStyle name="Normal 5 2 6 9" xfId="2167" xr:uid="{ADCFA0E8-B8D1-47B3-8E84-2F979D88324D}"/>
    <cellStyle name="Normal 5 2 7" xfId="889" xr:uid="{00000000-0005-0000-0000-000012030000}"/>
    <cellStyle name="Normal 5 2 7 2" xfId="5610" xr:uid="{2A3EAE99-1055-4675-9472-D7B29FCEDA12}"/>
    <cellStyle name="Normal 5 2 7 2 2" xfId="9828" xr:uid="{2569A899-F212-4301-97E6-D73EF7519077}"/>
    <cellStyle name="Normal 5 2 7 3" xfId="7683" xr:uid="{EA5BCDD5-8887-4BBA-9D78-63F3026D2CB5}"/>
    <cellStyle name="Normal 5 2 7 4" xfId="3381" xr:uid="{26C34B8B-E535-4978-9CCA-6B2044975734}"/>
    <cellStyle name="Normal 5 2 7 5" xfId="2552" xr:uid="{B6C31EE5-B3C7-4700-9343-50369C7F720C}"/>
    <cellStyle name="Normal 5 2 7 6" xfId="1723" xr:uid="{43D5FC1C-7EEC-4153-9008-56127298AAD8}"/>
    <cellStyle name="Normal 5 2 8" xfId="3794" xr:uid="{0600DFCD-488A-4875-A752-36C854CF7722}"/>
    <cellStyle name="Normal 5 2 8 2" xfId="6023" xr:uid="{3E67755F-9B2E-4D80-BC5E-C31BBB3DDCC8}"/>
    <cellStyle name="Normal 5 2 8 2 2" xfId="10241" xr:uid="{839EDBB2-E4C6-4873-BA49-E05A1E14CA3B}"/>
    <cellStyle name="Normal 5 2 8 3" xfId="8096" xr:uid="{FA922700-A2F2-4C5D-9E7A-394DA70221FC}"/>
    <cellStyle name="Normal 5 2 9" xfId="4207" xr:uid="{5405071C-79DE-4F12-9D2F-EDA2064C705B}"/>
    <cellStyle name="Normal 5 2 9 2" xfId="6436" xr:uid="{79B032D0-C6F7-446C-804E-B595898D9413}"/>
    <cellStyle name="Normal 5 2 9 2 2" xfId="10654" xr:uid="{708C11E6-C36A-49F9-8B6E-7BCEDE6FC39B}"/>
    <cellStyle name="Normal 5 2 9 3" xfId="8509" xr:uid="{C0473DEE-CD56-4202-A26A-D97E524ED625}"/>
    <cellStyle name="Normal 5 3" xfId="442" xr:uid="{00000000-0005-0000-0000-000013030000}"/>
    <cellStyle name="Normal 5 3 10" xfId="4652" xr:uid="{EBD587CE-A50E-4099-8099-E194EE0AE868}"/>
    <cellStyle name="Normal 5 3 10 2" xfId="6881" xr:uid="{D0F8BE05-16C7-41B1-A52B-9DC6E37E4C40}"/>
    <cellStyle name="Normal 5 3 10 2 2" xfId="11099" xr:uid="{847DD19B-8AF1-4681-B8E6-4D3766A0F4E5}"/>
    <cellStyle name="Normal 5 3 10 3" xfId="8954" xr:uid="{D323288C-14A0-4A39-9056-E53A81EDC9F6}"/>
    <cellStyle name="Normal 5 3 11" xfId="5088" xr:uid="{7A9ED336-961A-4539-9D2F-31144BD3916B}"/>
    <cellStyle name="Normal 5 3 11 2" xfId="9367" xr:uid="{17DD6DF1-09B6-4971-AD67-E61819FA9967}"/>
    <cellStyle name="Normal 5 3 12" xfId="7302" xr:uid="{14CEC887-6AC9-4754-AB5B-5E4C11AC3E12}"/>
    <cellStyle name="Normal 5 3 13" xfId="2998" xr:uid="{46508523-C0EE-4E3E-A748-6E851027674A}"/>
    <cellStyle name="Normal 5 3 14" xfId="2168" xr:uid="{A2A913E4-916F-4F4B-8DB0-B9B80B8E4D1C}"/>
    <cellStyle name="Normal 5 3 15" xfId="1339" xr:uid="{F08C5B12-FC00-4223-B072-0AEFF7230D84}"/>
    <cellStyle name="Normal 5 3 2" xfId="443" xr:uid="{00000000-0005-0000-0000-000014030000}"/>
    <cellStyle name="Normal 5 3 2 2" xfId="922" xr:uid="{00000000-0005-0000-0000-000015030000}"/>
    <cellStyle name="Normal 5 3 3" xfId="444" xr:uid="{00000000-0005-0000-0000-000016030000}"/>
    <cellStyle name="Normal 5 3 3 10" xfId="7303" xr:uid="{7D82634D-CC0E-463E-8173-0253E661AE1E}"/>
    <cellStyle name="Normal 5 3 3 11" xfId="2999" xr:uid="{3CA2A88D-B9C6-4E80-BF9F-12751B0FBA17}"/>
    <cellStyle name="Normal 5 3 3 12" xfId="2169" xr:uid="{15EF0ACC-0BFE-47DF-A83E-673C572A8AD1}"/>
    <cellStyle name="Normal 5 3 3 13" xfId="1340" xr:uid="{5655F0CA-36DF-4282-8077-1851375237B9}"/>
    <cellStyle name="Normal 5 3 3 2" xfId="445" xr:uid="{00000000-0005-0000-0000-000017030000}"/>
    <cellStyle name="Normal 5 3 3 2 10" xfId="3000" xr:uid="{5ED4B62D-AB90-46DA-BFCE-9A90DD29D6B0}"/>
    <cellStyle name="Normal 5 3 3 2 11" xfId="2170" xr:uid="{EBC6A899-1AEC-4961-A170-C751548E04A7}"/>
    <cellStyle name="Normal 5 3 3 2 12" xfId="1341" xr:uid="{215ADCCA-51CA-4851-9306-58D529498C0C}"/>
    <cellStyle name="Normal 5 3 3 2 2" xfId="446" xr:uid="{00000000-0005-0000-0000-000018030000}"/>
    <cellStyle name="Normal 5 3 3 2 2 10" xfId="2171" xr:uid="{2123C834-CF73-485E-95C9-52CD0FA6BE4A}"/>
    <cellStyle name="Normal 5 3 3 2 2 11" xfId="1342" xr:uid="{32DDE230-271B-4E86-B5BF-C0D927C707FB}"/>
    <cellStyle name="Normal 5 3 3 2 2 2" xfId="447" xr:uid="{00000000-0005-0000-0000-000019030000}"/>
    <cellStyle name="Normal 5 3 3 2 2 2 10" xfId="1343" xr:uid="{ED626281-FBD6-4A4F-93DF-14F5A401EE8C}"/>
    <cellStyle name="Normal 5 3 3 2 2 2 2" xfId="926" xr:uid="{00000000-0005-0000-0000-00001A030000}"/>
    <cellStyle name="Normal 5 3 3 2 2 2 2 2" xfId="5646" xr:uid="{AB4D04DF-76CF-4CC1-BC9A-7F5EB96FD13E}"/>
    <cellStyle name="Normal 5 3 3 2 2 2 2 2 2" xfId="9864" xr:uid="{AD4760E3-5563-494B-8D75-DDBE5EA7BC00}"/>
    <cellStyle name="Normal 5 3 3 2 2 2 2 3" xfId="7719" xr:uid="{AF4415E1-E799-49A7-BF28-4656571C2DA9}"/>
    <cellStyle name="Normal 5 3 3 2 2 2 2 4" xfId="3417" xr:uid="{22C24F47-9820-4B56-82B1-D41CB2E6722D}"/>
    <cellStyle name="Normal 5 3 3 2 2 2 2 5" xfId="2588" xr:uid="{3A20455C-4FEC-472C-B497-ADAE057F2968}"/>
    <cellStyle name="Normal 5 3 3 2 2 2 2 6" xfId="1759" xr:uid="{EA3FF538-A901-4828-B030-0A750AC5AC75}"/>
    <cellStyle name="Normal 5 3 3 2 2 2 3" xfId="3830" xr:uid="{29159786-4974-4CE0-B92F-81A93359792B}"/>
    <cellStyle name="Normal 5 3 3 2 2 2 3 2" xfId="6059" xr:uid="{8672DD60-73A4-4A7D-9D78-BAC2CEE889A7}"/>
    <cellStyle name="Normal 5 3 3 2 2 2 3 2 2" xfId="10277" xr:uid="{D7C08234-A5CC-4E0C-86F9-F4915AB86270}"/>
    <cellStyle name="Normal 5 3 3 2 2 2 3 3" xfId="8132" xr:uid="{3DDDE381-5126-4636-86A9-C3A6379F4B51}"/>
    <cellStyle name="Normal 5 3 3 2 2 2 4" xfId="4243" xr:uid="{610B9FA3-375C-45C3-9ACF-0B09DD30A3B6}"/>
    <cellStyle name="Normal 5 3 3 2 2 2 4 2" xfId="6472" xr:uid="{469D917B-0FBF-44DB-942C-00AC64D90A8C}"/>
    <cellStyle name="Normal 5 3 3 2 2 2 4 2 2" xfId="10690" xr:uid="{B9271932-E861-460B-89A6-8B2BA32B75A1}"/>
    <cellStyle name="Normal 5 3 3 2 2 2 4 3" xfId="8545" xr:uid="{8334D633-5AFD-41F0-8F44-50C8A9238BA1}"/>
    <cellStyle name="Normal 5 3 3 2 2 2 5" xfId="4656" xr:uid="{A7AF0C4D-7FD0-401E-8429-36B283F361DE}"/>
    <cellStyle name="Normal 5 3 3 2 2 2 5 2" xfId="6885" xr:uid="{C4D43DF3-4DA7-4385-BA9B-862AB534C380}"/>
    <cellStyle name="Normal 5 3 3 2 2 2 5 2 2" xfId="11103" xr:uid="{0A35FE17-FA13-47DB-A998-250856D10DF6}"/>
    <cellStyle name="Normal 5 3 3 2 2 2 5 3" xfId="8958" xr:uid="{2B1EFC07-84FB-4E5E-9EF5-32F85C095ABC}"/>
    <cellStyle name="Normal 5 3 3 2 2 2 6" xfId="5092" xr:uid="{23990F76-6244-4B27-982C-2A08B425F3EB}"/>
    <cellStyle name="Normal 5 3 3 2 2 2 6 2" xfId="9371" xr:uid="{2DE6933F-1D65-4B73-B029-655502A4E9E1}"/>
    <cellStyle name="Normal 5 3 3 2 2 2 7" xfId="7306" xr:uid="{DB178066-58F0-4C1D-8482-21F41DB489BF}"/>
    <cellStyle name="Normal 5 3 3 2 2 2 8" xfId="3002" xr:uid="{31D58CDF-A818-4C5A-8E41-F78394776888}"/>
    <cellStyle name="Normal 5 3 3 2 2 2 9" xfId="2172" xr:uid="{85621C8D-D6E7-4740-97AC-6E1736146FE4}"/>
    <cellStyle name="Normal 5 3 3 2 2 3" xfId="925" xr:uid="{00000000-0005-0000-0000-00001B030000}"/>
    <cellStyle name="Normal 5 3 3 2 2 3 2" xfId="5645" xr:uid="{B4FD56B4-0A7F-419E-B1C7-DACE72987686}"/>
    <cellStyle name="Normal 5 3 3 2 2 3 2 2" xfId="9863" xr:uid="{39329746-9E8C-4B65-97DD-1F5CE2ABE425}"/>
    <cellStyle name="Normal 5 3 3 2 2 3 3" xfId="7718" xr:uid="{E8A42EF9-1461-4DDC-97A9-71689E872E3A}"/>
    <cellStyle name="Normal 5 3 3 2 2 3 4" xfId="3416" xr:uid="{110D02B6-CF79-449A-91CA-6F14A28DBA38}"/>
    <cellStyle name="Normal 5 3 3 2 2 3 5" xfId="2587" xr:uid="{47C5B145-1C61-4A10-AE83-88E4E6326185}"/>
    <cellStyle name="Normal 5 3 3 2 2 3 6" xfId="1758" xr:uid="{D3813B7E-F338-43D6-B122-A6ECFDB2BDBE}"/>
    <cellStyle name="Normal 5 3 3 2 2 4" xfId="3829" xr:uid="{C4F815E1-FB3A-4728-B32F-B07BE96E9811}"/>
    <cellStyle name="Normal 5 3 3 2 2 4 2" xfId="6058" xr:uid="{333CA365-C5BA-4310-B31C-157D2C5D4F7C}"/>
    <cellStyle name="Normal 5 3 3 2 2 4 2 2" xfId="10276" xr:uid="{CDBA8703-FF2B-450C-B3FC-119BD7176C80}"/>
    <cellStyle name="Normal 5 3 3 2 2 4 3" xfId="8131" xr:uid="{AD517AE0-8937-4795-ABA0-A8C11F6FE998}"/>
    <cellStyle name="Normal 5 3 3 2 2 5" xfId="4242" xr:uid="{E832A2B9-319A-4045-BE24-4452A093F1DA}"/>
    <cellStyle name="Normal 5 3 3 2 2 5 2" xfId="6471" xr:uid="{140D08FF-96DC-42C1-BF39-39FE6218C198}"/>
    <cellStyle name="Normal 5 3 3 2 2 5 2 2" xfId="10689" xr:uid="{2E18A85C-FBBA-41FF-AB4B-3364F408EB97}"/>
    <cellStyle name="Normal 5 3 3 2 2 5 3" xfId="8544" xr:uid="{850CE582-76D6-480E-A249-3159EE1BE3CB}"/>
    <cellStyle name="Normal 5 3 3 2 2 6" xfId="4655" xr:uid="{80DC3D24-E4F5-4519-A1E3-DB8C8CBBABB2}"/>
    <cellStyle name="Normal 5 3 3 2 2 6 2" xfId="6884" xr:uid="{183CC7BC-190C-4EDE-AACE-BCF453D97184}"/>
    <cellStyle name="Normal 5 3 3 2 2 6 2 2" xfId="11102" xr:uid="{49C69EF9-1201-4C1B-9CDB-13CF6F1604C8}"/>
    <cellStyle name="Normal 5 3 3 2 2 6 3" xfId="8957" xr:uid="{99669A7C-B9E2-4C01-82D8-50F0D9A98123}"/>
    <cellStyle name="Normal 5 3 3 2 2 7" xfId="5091" xr:uid="{D795F903-C167-4976-86A9-7026BACA337B}"/>
    <cellStyle name="Normal 5 3 3 2 2 7 2" xfId="9370" xr:uid="{5F661C6A-1F8C-4C94-ACE9-F138A4DBB46F}"/>
    <cellStyle name="Normal 5 3 3 2 2 8" xfId="7305" xr:uid="{14C385CD-3DCC-4FE3-B9C8-797E6F25817C}"/>
    <cellStyle name="Normal 5 3 3 2 2 9" xfId="3001" xr:uid="{74EC02A5-9490-412D-AE89-071DAB88C38E}"/>
    <cellStyle name="Normal 5 3 3 2 3" xfId="448" xr:uid="{00000000-0005-0000-0000-00001C030000}"/>
    <cellStyle name="Normal 5 3 3 2 3 10" xfId="1344" xr:uid="{0065B7AF-FC39-44C4-B9F9-DDB2A2BDB5A0}"/>
    <cellStyle name="Normal 5 3 3 2 3 2" xfId="927" xr:uid="{00000000-0005-0000-0000-00001D030000}"/>
    <cellStyle name="Normal 5 3 3 2 3 2 2" xfId="5647" xr:uid="{6F6B0465-8A72-4AB7-97DB-9F8714C6D8D6}"/>
    <cellStyle name="Normal 5 3 3 2 3 2 2 2" xfId="9865" xr:uid="{116946D5-1D3F-4B8D-A954-1EF85E22F277}"/>
    <cellStyle name="Normal 5 3 3 2 3 2 3" xfId="7720" xr:uid="{FD9F48D5-4573-4968-8F9E-FB521517F9F6}"/>
    <cellStyle name="Normal 5 3 3 2 3 2 4" xfId="3418" xr:uid="{C53E8FB3-720B-4770-80E1-4188BDE6BA88}"/>
    <cellStyle name="Normal 5 3 3 2 3 2 5" xfId="2589" xr:uid="{15390E5B-30A6-42C2-BD9C-718BF45F11F1}"/>
    <cellStyle name="Normal 5 3 3 2 3 2 6" xfId="1760" xr:uid="{0F772D83-F1AC-4D2D-95A2-F7A5F32472E7}"/>
    <cellStyle name="Normal 5 3 3 2 3 3" xfId="3831" xr:uid="{75BC29CF-A0AF-47F5-87EF-6A3D3C31129B}"/>
    <cellStyle name="Normal 5 3 3 2 3 3 2" xfId="6060" xr:uid="{78958E1A-2D7D-4F9C-ACC7-3ECCD6B4D44F}"/>
    <cellStyle name="Normal 5 3 3 2 3 3 2 2" xfId="10278" xr:uid="{5865355C-D8ED-4F3E-A383-F4985747D17F}"/>
    <cellStyle name="Normal 5 3 3 2 3 3 3" xfId="8133" xr:uid="{E295379C-A5BA-4955-B109-414A7020D9AE}"/>
    <cellStyle name="Normal 5 3 3 2 3 4" xfId="4244" xr:uid="{70CEF052-BC48-44AB-BFDC-32456A7A97F4}"/>
    <cellStyle name="Normal 5 3 3 2 3 4 2" xfId="6473" xr:uid="{EF4FF1A0-4AF4-4E08-A5AD-3F930E7B974A}"/>
    <cellStyle name="Normal 5 3 3 2 3 4 2 2" xfId="10691" xr:uid="{C4B9A4EB-C856-42A3-820F-894DA4F44EC8}"/>
    <cellStyle name="Normal 5 3 3 2 3 4 3" xfId="8546" xr:uid="{31AB5971-FE7E-4FD2-9F63-F938695478E1}"/>
    <cellStyle name="Normal 5 3 3 2 3 5" xfId="4657" xr:uid="{74B64EB1-A878-4CBA-98E1-AE0905F305DF}"/>
    <cellStyle name="Normal 5 3 3 2 3 5 2" xfId="6886" xr:uid="{7DC3A2FB-27F7-4848-8F6C-58EFE5458EBA}"/>
    <cellStyle name="Normal 5 3 3 2 3 5 2 2" xfId="11104" xr:uid="{4A4447AA-FE27-44C8-90F6-926048F29E46}"/>
    <cellStyle name="Normal 5 3 3 2 3 5 3" xfId="8959" xr:uid="{A4D601E2-1F31-4E1C-89D1-A1267A56BD05}"/>
    <cellStyle name="Normal 5 3 3 2 3 6" xfId="5093" xr:uid="{3F09CE4A-FCB4-4C7E-893B-C988A5EFBCAD}"/>
    <cellStyle name="Normal 5 3 3 2 3 6 2" xfId="9372" xr:uid="{9C18014C-6A6C-4032-B0A9-C05431EF2592}"/>
    <cellStyle name="Normal 5 3 3 2 3 7" xfId="7307" xr:uid="{00B1583A-E811-4162-8DCB-58460E29C076}"/>
    <cellStyle name="Normal 5 3 3 2 3 8" xfId="3003" xr:uid="{2DD1DB06-A57D-41B5-A2D9-AECDE7024EC0}"/>
    <cellStyle name="Normal 5 3 3 2 3 9" xfId="2173" xr:uid="{7B7004DD-5B24-4B27-B692-D7059A2D3D7F}"/>
    <cellStyle name="Normal 5 3 3 2 4" xfId="924" xr:uid="{00000000-0005-0000-0000-00001E030000}"/>
    <cellStyle name="Normal 5 3 3 2 4 2" xfId="5644" xr:uid="{156AABC9-239D-4F4C-91FF-B778AD995F97}"/>
    <cellStyle name="Normal 5 3 3 2 4 2 2" xfId="9862" xr:uid="{D69C38CB-0F3F-4ADB-A11A-1398F2215C88}"/>
    <cellStyle name="Normal 5 3 3 2 4 3" xfId="7717" xr:uid="{5BE2F917-3D88-45FB-9084-1AAB612E64AA}"/>
    <cellStyle name="Normal 5 3 3 2 4 4" xfId="3415" xr:uid="{B737473F-E71B-43DF-8566-BDB44BE34647}"/>
    <cellStyle name="Normal 5 3 3 2 4 5" xfId="2586" xr:uid="{69A31DF2-3BD9-4631-8DFA-2C47795626DC}"/>
    <cellStyle name="Normal 5 3 3 2 4 6" xfId="1757" xr:uid="{FF87D3A8-D726-4137-8785-5C6AF473252C}"/>
    <cellStyle name="Normal 5 3 3 2 5" xfId="3828" xr:uid="{ED7A0B3A-0303-4CEA-9559-990FEC436989}"/>
    <cellStyle name="Normal 5 3 3 2 5 2" xfId="6057" xr:uid="{2514F2EE-49E8-4CCB-BBCA-4A67566FCD1C}"/>
    <cellStyle name="Normal 5 3 3 2 5 2 2" xfId="10275" xr:uid="{FC33314F-AD53-47D8-B275-9D58F1A6F2F2}"/>
    <cellStyle name="Normal 5 3 3 2 5 3" xfId="8130" xr:uid="{B6AFFF6B-71AD-4B3D-81F2-6E4C1296AFD6}"/>
    <cellStyle name="Normal 5 3 3 2 6" xfId="4241" xr:uid="{FC0156F6-C5B4-422A-A2C1-B8874A2988AC}"/>
    <cellStyle name="Normal 5 3 3 2 6 2" xfId="6470" xr:uid="{94A960C1-C5EF-4990-B948-39349A574ADA}"/>
    <cellStyle name="Normal 5 3 3 2 6 2 2" xfId="10688" xr:uid="{D8D6A113-F695-4234-92D5-A54943071166}"/>
    <cellStyle name="Normal 5 3 3 2 6 3" xfId="8543" xr:uid="{49A08155-E075-4136-8027-7895D3823C09}"/>
    <cellStyle name="Normal 5 3 3 2 7" xfId="4654" xr:uid="{3CD3E742-BABA-4A4D-9827-509864CA7AAD}"/>
    <cellStyle name="Normal 5 3 3 2 7 2" xfId="6883" xr:uid="{F212C31C-6CC3-43B4-B504-E4A1F23106EC}"/>
    <cellStyle name="Normal 5 3 3 2 7 2 2" xfId="11101" xr:uid="{6EB1CEBE-1FD6-4D87-9CE0-FFAEF2202FCF}"/>
    <cellStyle name="Normal 5 3 3 2 7 3" xfId="8956" xr:uid="{23B5727F-B461-43E8-8C80-05A6E39E6F5D}"/>
    <cellStyle name="Normal 5 3 3 2 8" xfId="5090" xr:uid="{8639C363-5E56-4D12-811F-E967A1AC0100}"/>
    <cellStyle name="Normal 5 3 3 2 8 2" xfId="9369" xr:uid="{D3F80AE5-81B1-402C-A9A9-C5BABB8048C9}"/>
    <cellStyle name="Normal 5 3 3 2 9" xfId="7304" xr:uid="{157DE446-3750-4098-8CFB-49247851F3C5}"/>
    <cellStyle name="Normal 5 3 3 3" xfId="449" xr:uid="{00000000-0005-0000-0000-00001F030000}"/>
    <cellStyle name="Normal 5 3 3 3 10" xfId="2174" xr:uid="{AAB91AF5-CF60-4F34-9AED-4BFB2FDAC3AC}"/>
    <cellStyle name="Normal 5 3 3 3 11" xfId="1345" xr:uid="{67253D4B-44A4-4C3C-A6FC-2E65D927D98D}"/>
    <cellStyle name="Normal 5 3 3 3 2" xfId="450" xr:uid="{00000000-0005-0000-0000-000020030000}"/>
    <cellStyle name="Normal 5 3 3 3 2 10" xfId="1346" xr:uid="{FCF2A4E1-535A-46BE-94C3-03F6331A5240}"/>
    <cellStyle name="Normal 5 3 3 3 2 2" xfId="929" xr:uid="{00000000-0005-0000-0000-000021030000}"/>
    <cellStyle name="Normal 5 3 3 3 2 2 2" xfId="5649" xr:uid="{97A9D9A1-BD01-48EE-96F6-551B410E3EFC}"/>
    <cellStyle name="Normal 5 3 3 3 2 2 2 2" xfId="9867" xr:uid="{05357B30-36FA-4EC6-82E9-864B8CE3C9D0}"/>
    <cellStyle name="Normal 5 3 3 3 2 2 3" xfId="7722" xr:uid="{929FA08F-3C28-4A06-837C-31D1AE965F63}"/>
    <cellStyle name="Normal 5 3 3 3 2 2 4" xfId="3420" xr:uid="{CDD222C6-C91E-43F9-8524-D93652579942}"/>
    <cellStyle name="Normal 5 3 3 3 2 2 5" xfId="2591" xr:uid="{C48B0202-FE56-4FE4-A818-0AF8DE9C4B70}"/>
    <cellStyle name="Normal 5 3 3 3 2 2 6" xfId="1762" xr:uid="{6159E4D0-F97D-475D-89A8-5348E6BE1D91}"/>
    <cellStyle name="Normal 5 3 3 3 2 3" xfId="3833" xr:uid="{B325953D-AB49-42A7-ACE1-8D163335FEA1}"/>
    <cellStyle name="Normal 5 3 3 3 2 3 2" xfId="6062" xr:uid="{1901DCD1-1331-4CB2-AAEC-8AAA1BD8A855}"/>
    <cellStyle name="Normal 5 3 3 3 2 3 2 2" xfId="10280" xr:uid="{05B342F8-08E0-448D-AB35-AAAF8D5B2AA1}"/>
    <cellStyle name="Normal 5 3 3 3 2 3 3" xfId="8135" xr:uid="{49A23EBA-8E70-44DF-99FD-C8ED7D29DA76}"/>
    <cellStyle name="Normal 5 3 3 3 2 4" xfId="4246" xr:uid="{F3145C9B-5988-4166-8F33-E4B81CB4E102}"/>
    <cellStyle name="Normal 5 3 3 3 2 4 2" xfId="6475" xr:uid="{29AD15BB-AB95-4F53-844C-FE4467DEDF70}"/>
    <cellStyle name="Normal 5 3 3 3 2 4 2 2" xfId="10693" xr:uid="{8754DC08-262D-482B-B9E2-ECF8C4CA2E19}"/>
    <cellStyle name="Normal 5 3 3 3 2 4 3" xfId="8548" xr:uid="{A53BA340-50F1-4A06-8F68-82584B97787F}"/>
    <cellStyle name="Normal 5 3 3 3 2 5" xfId="4659" xr:uid="{5C7091FF-1D4B-400D-B639-A0BE423ADD36}"/>
    <cellStyle name="Normal 5 3 3 3 2 5 2" xfId="6888" xr:uid="{B0EBD4D2-6781-4BB4-A791-2C0D90D824E5}"/>
    <cellStyle name="Normal 5 3 3 3 2 5 2 2" xfId="11106" xr:uid="{30C6D86C-8525-41B3-9DB6-BAFE07FC40CE}"/>
    <cellStyle name="Normal 5 3 3 3 2 5 3" xfId="8961" xr:uid="{3ED872D7-21B8-4CA1-B466-61BCD215C7F7}"/>
    <cellStyle name="Normal 5 3 3 3 2 6" xfId="5095" xr:uid="{F8BC27D4-16E3-48CC-8DCC-FEB377EE7726}"/>
    <cellStyle name="Normal 5 3 3 3 2 6 2" xfId="9374" xr:uid="{948894AA-3642-43EE-8539-627E413A7969}"/>
    <cellStyle name="Normal 5 3 3 3 2 7" xfId="7309" xr:uid="{CBD9FBD5-D202-450F-870D-BE7FE5DC0149}"/>
    <cellStyle name="Normal 5 3 3 3 2 8" xfId="3005" xr:uid="{21DAD868-32EF-4BCB-BD8E-DD7CA7EDA756}"/>
    <cellStyle name="Normal 5 3 3 3 2 9" xfId="2175" xr:uid="{4193BF89-0E2F-4363-B829-ECFB78889E7E}"/>
    <cellStyle name="Normal 5 3 3 3 3" xfId="928" xr:uid="{00000000-0005-0000-0000-000022030000}"/>
    <cellStyle name="Normal 5 3 3 3 3 2" xfId="5648" xr:uid="{226FA1BD-7CB2-40B6-9274-14343DC52089}"/>
    <cellStyle name="Normal 5 3 3 3 3 2 2" xfId="9866" xr:uid="{257586BD-F690-4F5A-9C9C-6A539F11666B}"/>
    <cellStyle name="Normal 5 3 3 3 3 3" xfId="7721" xr:uid="{4F86DFF1-2248-49DF-B13B-C1D97797DF87}"/>
    <cellStyle name="Normal 5 3 3 3 3 4" xfId="3419" xr:uid="{4C875039-1ECE-4CAB-8307-4BF729FE60F2}"/>
    <cellStyle name="Normal 5 3 3 3 3 5" xfId="2590" xr:uid="{540878A1-332A-40C1-820A-A17F3B5E937A}"/>
    <cellStyle name="Normal 5 3 3 3 3 6" xfId="1761" xr:uid="{C37EA648-40E9-4A35-A13B-0931DE0747F3}"/>
    <cellStyle name="Normal 5 3 3 3 4" xfId="3832" xr:uid="{79ED37FA-8E5B-4FE2-B268-C1695B3D5B2F}"/>
    <cellStyle name="Normal 5 3 3 3 4 2" xfId="6061" xr:uid="{EEE09EDD-8D35-412A-8108-CCF16B9D1521}"/>
    <cellStyle name="Normal 5 3 3 3 4 2 2" xfId="10279" xr:uid="{9F016CF5-B8A8-412B-A267-9544033A1A2E}"/>
    <cellStyle name="Normal 5 3 3 3 4 3" xfId="8134" xr:uid="{A6A014D9-8BEE-4D3A-AD24-506D5755D236}"/>
    <cellStyle name="Normal 5 3 3 3 5" xfId="4245" xr:uid="{AA39F0D6-9D9C-4105-83A1-619544BE6060}"/>
    <cellStyle name="Normal 5 3 3 3 5 2" xfId="6474" xr:uid="{57E9585B-FBFF-4D63-94FF-A3E49E142029}"/>
    <cellStyle name="Normal 5 3 3 3 5 2 2" xfId="10692" xr:uid="{2C61D2C0-271C-4D7D-8C49-9E17E3C3A5ED}"/>
    <cellStyle name="Normal 5 3 3 3 5 3" xfId="8547" xr:uid="{566270FC-2A58-4E5F-BFC7-73641D05B433}"/>
    <cellStyle name="Normal 5 3 3 3 6" xfId="4658" xr:uid="{83BC6DD2-3198-48A7-BD9E-AD10878FC75E}"/>
    <cellStyle name="Normal 5 3 3 3 6 2" xfId="6887" xr:uid="{C76E1317-B152-4F90-9E34-ACA84FAD3953}"/>
    <cellStyle name="Normal 5 3 3 3 6 2 2" xfId="11105" xr:uid="{022E00AC-F529-4283-AAC8-CBBC37C6A61F}"/>
    <cellStyle name="Normal 5 3 3 3 6 3" xfId="8960" xr:uid="{214D0367-079E-4D51-A6AA-55ECABCC54B0}"/>
    <cellStyle name="Normal 5 3 3 3 7" xfId="5094" xr:uid="{22E897E8-722D-4D33-8AFE-78FFED218057}"/>
    <cellStyle name="Normal 5 3 3 3 7 2" xfId="9373" xr:uid="{49F8FE4F-A71A-42C1-96FE-0F266AB9BDD5}"/>
    <cellStyle name="Normal 5 3 3 3 8" xfId="7308" xr:uid="{01E3B544-87D1-4ACF-9CDD-751A70D6D686}"/>
    <cellStyle name="Normal 5 3 3 3 9" xfId="3004" xr:uid="{E41128B7-337B-4A90-AFAC-B984F4ED0659}"/>
    <cellStyle name="Normal 5 3 3 4" xfId="451" xr:uid="{00000000-0005-0000-0000-000023030000}"/>
    <cellStyle name="Normal 5 3 3 4 10" xfId="1347" xr:uid="{C049F1B8-8C88-49C0-B6D7-DAC386E85646}"/>
    <cellStyle name="Normal 5 3 3 4 2" xfId="930" xr:uid="{00000000-0005-0000-0000-000024030000}"/>
    <cellStyle name="Normal 5 3 3 4 2 2" xfId="5650" xr:uid="{03163CE6-AED3-44E4-8F91-D4C6D2052AE1}"/>
    <cellStyle name="Normal 5 3 3 4 2 2 2" xfId="9868" xr:uid="{BC0CE04D-4999-4F19-8483-AC88852110EB}"/>
    <cellStyle name="Normal 5 3 3 4 2 3" xfId="7723" xr:uid="{44DC4948-16CC-484E-AF81-CE71D34A96D4}"/>
    <cellStyle name="Normal 5 3 3 4 2 4" xfId="3421" xr:uid="{39420729-C020-4EAF-B231-A3F94B381793}"/>
    <cellStyle name="Normal 5 3 3 4 2 5" xfId="2592" xr:uid="{464B6617-2D82-40C8-85E5-8855E552B0C3}"/>
    <cellStyle name="Normal 5 3 3 4 2 6" xfId="1763" xr:uid="{BF25BD29-CCC5-4B83-8EA2-C10B0478839F}"/>
    <cellStyle name="Normal 5 3 3 4 3" xfId="3834" xr:uid="{FB8EB3A0-08B9-4530-AE86-6196BBB05A21}"/>
    <cellStyle name="Normal 5 3 3 4 3 2" xfId="6063" xr:uid="{6F698269-3C93-428F-AF42-BC2292470FBA}"/>
    <cellStyle name="Normal 5 3 3 4 3 2 2" xfId="10281" xr:uid="{7EE472E4-70EA-4CB7-B532-09C51959B2B9}"/>
    <cellStyle name="Normal 5 3 3 4 3 3" xfId="8136" xr:uid="{A0A64E6E-4A0A-43A5-9D7B-D64AD9099B0C}"/>
    <cellStyle name="Normal 5 3 3 4 4" xfId="4247" xr:uid="{8307EE79-5836-44DF-9721-26145450AEBD}"/>
    <cellStyle name="Normal 5 3 3 4 4 2" xfId="6476" xr:uid="{7193F973-587F-43A8-A268-9E0ACB5777A5}"/>
    <cellStyle name="Normal 5 3 3 4 4 2 2" xfId="10694" xr:uid="{FA303EF7-B304-439E-82FD-1F048F19BB4A}"/>
    <cellStyle name="Normal 5 3 3 4 4 3" xfId="8549" xr:uid="{F5D0AA60-1EAA-4416-9D29-68E47B194921}"/>
    <cellStyle name="Normal 5 3 3 4 5" xfId="4660" xr:uid="{AFF26E91-BF8C-4D76-BF60-B81EDFF3D71F}"/>
    <cellStyle name="Normal 5 3 3 4 5 2" xfId="6889" xr:uid="{0F4B4404-B292-4E0E-BD0F-27DB2F856C9D}"/>
    <cellStyle name="Normal 5 3 3 4 5 2 2" xfId="11107" xr:uid="{0A929E78-347E-4CEF-93E9-CF6FEE08BAB1}"/>
    <cellStyle name="Normal 5 3 3 4 5 3" xfId="8962" xr:uid="{9F239071-249E-4B2C-A84C-D3EE104A3B58}"/>
    <cellStyle name="Normal 5 3 3 4 6" xfId="5096" xr:uid="{C715603F-9A1C-4505-90F5-CC7D9DB7DB68}"/>
    <cellStyle name="Normal 5 3 3 4 6 2" xfId="9375" xr:uid="{A0C3C121-4966-45D9-9D7A-846B8D0FE060}"/>
    <cellStyle name="Normal 5 3 3 4 7" xfId="7310" xr:uid="{D442F4EE-1165-4BC6-903A-BC7512264EE0}"/>
    <cellStyle name="Normal 5 3 3 4 8" xfId="3006" xr:uid="{49C16F1F-A3D5-4D24-9D59-E61EB6C8509E}"/>
    <cellStyle name="Normal 5 3 3 4 9" xfId="2176" xr:uid="{BC0B5364-C99A-493D-8AC6-8DB7C5D7BE5E}"/>
    <cellStyle name="Normal 5 3 3 5" xfId="923" xr:uid="{00000000-0005-0000-0000-000025030000}"/>
    <cellStyle name="Normal 5 3 3 5 2" xfId="5643" xr:uid="{864AB107-5160-4E81-BE59-342A51B6582B}"/>
    <cellStyle name="Normal 5 3 3 5 2 2" xfId="9861" xr:uid="{5AAC9EA9-4BB5-4BFF-8555-5A65BEDDC64E}"/>
    <cellStyle name="Normal 5 3 3 5 3" xfId="7716" xr:uid="{4A0D34EF-02DA-4AC9-A0B0-8167F34B7FCB}"/>
    <cellStyle name="Normal 5 3 3 5 4" xfId="3414" xr:uid="{FE46066D-29E0-40F3-8FD5-09AF20F96CAC}"/>
    <cellStyle name="Normal 5 3 3 5 5" xfId="2585" xr:uid="{5762FD82-0C42-4FB1-8A99-A5373683A526}"/>
    <cellStyle name="Normal 5 3 3 5 6" xfId="1756" xr:uid="{D150D602-B7F8-4B72-BCE8-B8968FD5F9A9}"/>
    <cellStyle name="Normal 5 3 3 6" xfId="3827" xr:uid="{1A721922-F22E-4657-8954-6FF9D001617F}"/>
    <cellStyle name="Normal 5 3 3 6 2" xfId="6056" xr:uid="{233CCDDD-DA76-4BD4-81ED-A206C240D8B8}"/>
    <cellStyle name="Normal 5 3 3 6 2 2" xfId="10274" xr:uid="{FE542FC4-DB2A-4562-9ADE-597D7990494B}"/>
    <cellStyle name="Normal 5 3 3 6 3" xfId="8129" xr:uid="{C0D8A272-4817-41C7-863E-CCD89362BB99}"/>
    <cellStyle name="Normal 5 3 3 7" xfId="4240" xr:uid="{477FA524-5E5C-4AF4-B7A3-BC2CB6E50A2D}"/>
    <cellStyle name="Normal 5 3 3 7 2" xfId="6469" xr:uid="{9F135595-DB92-48A9-9945-79A7BCDA3625}"/>
    <cellStyle name="Normal 5 3 3 7 2 2" xfId="10687" xr:uid="{75F9DB16-E1BC-4C1D-B99C-D8AF5CEFA125}"/>
    <cellStyle name="Normal 5 3 3 7 3" xfId="8542" xr:uid="{42D537B0-AA1A-433E-8DA0-7AE6EC7743BC}"/>
    <cellStyle name="Normal 5 3 3 8" xfId="4653" xr:uid="{A260EF69-DD71-4F6D-A8A4-558A3CFCE43F}"/>
    <cellStyle name="Normal 5 3 3 8 2" xfId="6882" xr:uid="{43BF5701-67DB-44C3-9D32-760199EEC5A4}"/>
    <cellStyle name="Normal 5 3 3 8 2 2" xfId="11100" xr:uid="{646609B7-8D79-4203-9ED1-DA4D7FA5CE96}"/>
    <cellStyle name="Normal 5 3 3 8 3" xfId="8955" xr:uid="{71D7FA3E-B259-4F6F-A961-A42659FE5B18}"/>
    <cellStyle name="Normal 5 3 3 9" xfId="5089" xr:uid="{0514444C-26CD-4E5B-A4F4-8FBADD9340EB}"/>
    <cellStyle name="Normal 5 3 3 9 2" xfId="9368" xr:uid="{2E24CDA7-1931-4F03-B405-2EFD276B5760}"/>
    <cellStyle name="Normal 5 3 4" xfId="452" xr:uid="{00000000-0005-0000-0000-000026030000}"/>
    <cellStyle name="Normal 5 3 4 10" xfId="3007" xr:uid="{C609B2E8-9BED-4325-B6F8-9C0913697177}"/>
    <cellStyle name="Normal 5 3 4 11" xfId="2177" xr:uid="{244AAC4A-6828-43ED-859E-D1FA733370C5}"/>
    <cellStyle name="Normal 5 3 4 12" xfId="1348" xr:uid="{9C4641FC-C642-48B5-B38F-8FE18CE557E8}"/>
    <cellStyle name="Normal 5 3 4 2" xfId="453" xr:uid="{00000000-0005-0000-0000-000027030000}"/>
    <cellStyle name="Normal 5 3 4 2 10" xfId="2178" xr:uid="{A04CA534-3BB9-4684-9CC7-575BAEE0D92C}"/>
    <cellStyle name="Normal 5 3 4 2 11" xfId="1349" xr:uid="{FBA5219D-73DE-4414-A465-122AD901018E}"/>
    <cellStyle name="Normal 5 3 4 2 2" xfId="454" xr:uid="{00000000-0005-0000-0000-000028030000}"/>
    <cellStyle name="Normal 5 3 4 2 2 10" xfId="1350" xr:uid="{D5E654C7-95E9-4AFF-B0B4-EB338F03A026}"/>
    <cellStyle name="Normal 5 3 4 2 2 2" xfId="933" xr:uid="{00000000-0005-0000-0000-000029030000}"/>
    <cellStyle name="Normal 5 3 4 2 2 2 2" xfId="5653" xr:uid="{181E0F6F-F70A-4652-9690-E221EF194B1E}"/>
    <cellStyle name="Normal 5 3 4 2 2 2 2 2" xfId="9871" xr:uid="{BD7E7785-D21F-44D0-88A1-295FBCE3BE95}"/>
    <cellStyle name="Normal 5 3 4 2 2 2 3" xfId="7726" xr:uid="{26ED3A40-E37A-4A5C-BC70-9178935A0643}"/>
    <cellStyle name="Normal 5 3 4 2 2 2 4" xfId="3424" xr:uid="{08F95B17-6D8E-4D42-BDE0-F4AF366D7C8E}"/>
    <cellStyle name="Normal 5 3 4 2 2 2 5" xfId="2595" xr:uid="{5989BA5A-AAB8-47B4-BAC8-9B7EDAE02B91}"/>
    <cellStyle name="Normal 5 3 4 2 2 2 6" xfId="1766" xr:uid="{40F355A6-38FC-448F-983A-2402C285E1EC}"/>
    <cellStyle name="Normal 5 3 4 2 2 3" xfId="3837" xr:uid="{B9DF18C3-0E89-4B3F-A703-9CB1E551D8F8}"/>
    <cellStyle name="Normal 5 3 4 2 2 3 2" xfId="6066" xr:uid="{DD93D9B8-9C1E-4067-AC1E-6E55AF584A4E}"/>
    <cellStyle name="Normal 5 3 4 2 2 3 2 2" xfId="10284" xr:uid="{B0CCFE86-1E37-420C-938D-D421C6691B69}"/>
    <cellStyle name="Normal 5 3 4 2 2 3 3" xfId="8139" xr:uid="{530259DB-8FD2-4346-9AA6-33C41B11C5E0}"/>
    <cellStyle name="Normal 5 3 4 2 2 4" xfId="4250" xr:uid="{871A8281-9D24-4EF9-AC13-5DE14E9DC5FE}"/>
    <cellStyle name="Normal 5 3 4 2 2 4 2" xfId="6479" xr:uid="{4160A7BB-DA4E-4988-A529-01B9161EF37C}"/>
    <cellStyle name="Normal 5 3 4 2 2 4 2 2" xfId="10697" xr:uid="{994DDE47-2F4B-4E10-AECF-FF182F862EF5}"/>
    <cellStyle name="Normal 5 3 4 2 2 4 3" xfId="8552" xr:uid="{AB96D262-42FB-4B47-AF95-6CA6E8AA9F24}"/>
    <cellStyle name="Normal 5 3 4 2 2 5" xfId="4663" xr:uid="{0480458C-6251-4675-BDE8-097CC83C8D48}"/>
    <cellStyle name="Normal 5 3 4 2 2 5 2" xfId="6892" xr:uid="{E4E06804-1A25-4FFF-8A83-6943712D1A7C}"/>
    <cellStyle name="Normal 5 3 4 2 2 5 2 2" xfId="11110" xr:uid="{58FF8132-8CF5-497F-B6B2-78DAAF36ABA9}"/>
    <cellStyle name="Normal 5 3 4 2 2 5 3" xfId="8965" xr:uid="{5193046C-C54E-4E69-BE17-03270C313250}"/>
    <cellStyle name="Normal 5 3 4 2 2 6" xfId="5099" xr:uid="{995A4010-F59E-4FF0-91CF-6D7FB933B950}"/>
    <cellStyle name="Normal 5 3 4 2 2 6 2" xfId="9378" xr:uid="{3BA26EC6-461A-4CFC-9A6F-499EC9A871B8}"/>
    <cellStyle name="Normal 5 3 4 2 2 7" xfId="7313" xr:uid="{6C9006C8-DBFD-4E87-BAF1-FB427F8A2E51}"/>
    <cellStyle name="Normal 5 3 4 2 2 8" xfId="3009" xr:uid="{1CBE0AFE-32C2-4B8A-A6BC-2DB9734561A2}"/>
    <cellStyle name="Normal 5 3 4 2 2 9" xfId="2179" xr:uid="{AB652BAE-736F-4433-B118-BB0D3BF114BF}"/>
    <cellStyle name="Normal 5 3 4 2 3" xfId="932" xr:uid="{00000000-0005-0000-0000-00002A030000}"/>
    <cellStyle name="Normal 5 3 4 2 3 2" xfId="5652" xr:uid="{3B2A31EE-7B4B-48AF-BEDC-B5FA42B93A99}"/>
    <cellStyle name="Normal 5 3 4 2 3 2 2" xfId="9870" xr:uid="{B02B2557-0A44-4952-8829-8ED9141CE337}"/>
    <cellStyle name="Normal 5 3 4 2 3 3" xfId="7725" xr:uid="{9889D83C-6F6E-457A-A040-FC7C7B1D8EFF}"/>
    <cellStyle name="Normal 5 3 4 2 3 4" xfId="3423" xr:uid="{44BFCB54-9D18-4D79-BCA2-83705E3263FB}"/>
    <cellStyle name="Normal 5 3 4 2 3 5" xfId="2594" xr:uid="{26B3247A-FF1F-463F-B5E4-BB6B4672F106}"/>
    <cellStyle name="Normal 5 3 4 2 3 6" xfId="1765" xr:uid="{9E0D86E7-671D-4227-9D63-C1D8BB5383FC}"/>
    <cellStyle name="Normal 5 3 4 2 4" xfId="3836" xr:uid="{7FB90811-92BC-4CF3-B07E-45F703F89106}"/>
    <cellStyle name="Normal 5 3 4 2 4 2" xfId="6065" xr:uid="{973418C9-0EA9-43C8-883A-70D2D2C27DE0}"/>
    <cellStyle name="Normal 5 3 4 2 4 2 2" xfId="10283" xr:uid="{9A2AD9D1-1EE2-4725-A70F-B5E2CACAB21D}"/>
    <cellStyle name="Normal 5 3 4 2 4 3" xfId="8138" xr:uid="{B43B7C59-D88E-43AC-90EE-46F2E81B5BD3}"/>
    <cellStyle name="Normal 5 3 4 2 5" xfId="4249" xr:uid="{58920995-E5C0-48F0-860C-1811B478D452}"/>
    <cellStyle name="Normal 5 3 4 2 5 2" xfId="6478" xr:uid="{87762B50-029E-4CDD-9CC6-2BEC51264A35}"/>
    <cellStyle name="Normal 5 3 4 2 5 2 2" xfId="10696" xr:uid="{D51F95D0-CEED-4B94-B68F-7138CEB5A727}"/>
    <cellStyle name="Normal 5 3 4 2 5 3" xfId="8551" xr:uid="{08A91101-FC38-47F2-A417-99DDD7483673}"/>
    <cellStyle name="Normal 5 3 4 2 6" xfId="4662" xr:uid="{39C69AE6-8E31-42BB-8B48-E97F6FDD33D7}"/>
    <cellStyle name="Normal 5 3 4 2 6 2" xfId="6891" xr:uid="{3053367A-1137-484A-9AEA-BB493B3103FC}"/>
    <cellStyle name="Normal 5 3 4 2 6 2 2" xfId="11109" xr:uid="{BF053FE9-864C-432B-90A4-3A49D7AAB78B}"/>
    <cellStyle name="Normal 5 3 4 2 6 3" xfId="8964" xr:uid="{8F00F70D-1564-4D1B-975E-27F7A72B35CD}"/>
    <cellStyle name="Normal 5 3 4 2 7" xfId="5098" xr:uid="{1856D44F-6FA3-49EF-BA5B-A50A557BC670}"/>
    <cellStyle name="Normal 5 3 4 2 7 2" xfId="9377" xr:uid="{9BF4CBD4-0ADC-4E1C-8FD0-4D7CE5DEF57C}"/>
    <cellStyle name="Normal 5 3 4 2 8" xfId="7312" xr:uid="{F277303D-03B7-4FD3-8347-32ED38F98FCC}"/>
    <cellStyle name="Normal 5 3 4 2 9" xfId="3008" xr:uid="{F5F41F76-C4FF-41EF-9320-D8561464F5E5}"/>
    <cellStyle name="Normal 5 3 4 3" xfId="455" xr:uid="{00000000-0005-0000-0000-00002B030000}"/>
    <cellStyle name="Normal 5 3 4 3 10" xfId="1351" xr:uid="{4E943A32-C671-4026-8D65-15FBA08CD118}"/>
    <cellStyle name="Normal 5 3 4 3 2" xfId="934" xr:uid="{00000000-0005-0000-0000-00002C030000}"/>
    <cellStyle name="Normal 5 3 4 3 2 2" xfId="5654" xr:uid="{25114F1A-C3EF-4FF5-813A-959F92421C7D}"/>
    <cellStyle name="Normal 5 3 4 3 2 2 2" xfId="9872" xr:uid="{E8A7063B-0520-4A33-AA10-A6662F48838A}"/>
    <cellStyle name="Normal 5 3 4 3 2 3" xfId="7727" xr:uid="{7DE48B0B-2445-4B2E-A5F9-30EDF6667BE0}"/>
    <cellStyle name="Normal 5 3 4 3 2 4" xfId="3425" xr:uid="{FB67C073-B0A2-4D37-B1EA-AD2792720CCA}"/>
    <cellStyle name="Normal 5 3 4 3 2 5" xfId="2596" xr:uid="{DBF81BEB-F787-42E6-A2FC-137E9D2CFA77}"/>
    <cellStyle name="Normal 5 3 4 3 2 6" xfId="1767" xr:uid="{9C4101CB-5FD1-4936-B6B8-6CEAE3AE096F}"/>
    <cellStyle name="Normal 5 3 4 3 3" xfId="3838" xr:uid="{C4EFAF4D-EB2A-4A23-892C-83D1F2105B3D}"/>
    <cellStyle name="Normal 5 3 4 3 3 2" xfId="6067" xr:uid="{6B15F259-3F59-49B0-ACEE-C23BA2DC3E7A}"/>
    <cellStyle name="Normal 5 3 4 3 3 2 2" xfId="10285" xr:uid="{8479D94C-B9C9-40AF-B2E5-535C2E8ED091}"/>
    <cellStyle name="Normal 5 3 4 3 3 3" xfId="8140" xr:uid="{D03BCE1C-876C-4626-BD18-515EEA6AF960}"/>
    <cellStyle name="Normal 5 3 4 3 4" xfId="4251" xr:uid="{2CA1560A-5AB1-4EF2-9A92-997AFB7FEB50}"/>
    <cellStyle name="Normal 5 3 4 3 4 2" xfId="6480" xr:uid="{5EBC4148-8C32-429B-BB33-32B0D9D8E97C}"/>
    <cellStyle name="Normal 5 3 4 3 4 2 2" xfId="10698" xr:uid="{FFAAA6C0-60F9-4B24-A10C-01B318D5D87C}"/>
    <cellStyle name="Normal 5 3 4 3 4 3" xfId="8553" xr:uid="{E7B30CB0-FF16-4ED8-A46E-B557E07E7197}"/>
    <cellStyle name="Normal 5 3 4 3 5" xfId="4664" xr:uid="{43E3D4D5-A087-4699-99A8-128A6E69A611}"/>
    <cellStyle name="Normal 5 3 4 3 5 2" xfId="6893" xr:uid="{CA8CFC30-75A3-43E1-9A33-5A44396DA85C}"/>
    <cellStyle name="Normal 5 3 4 3 5 2 2" xfId="11111" xr:uid="{AD7F07F8-6026-46D7-9AA7-CF5BCCD2A6D4}"/>
    <cellStyle name="Normal 5 3 4 3 5 3" xfId="8966" xr:uid="{ABE2CAC4-DC81-421B-B73E-97C208185675}"/>
    <cellStyle name="Normal 5 3 4 3 6" xfId="5100" xr:uid="{6FCEC8FA-4F20-419C-B9BA-E0E382135457}"/>
    <cellStyle name="Normal 5 3 4 3 6 2" xfId="9379" xr:uid="{BD7AB770-0702-4D36-9B3E-3B4162DDAD0D}"/>
    <cellStyle name="Normal 5 3 4 3 7" xfId="7314" xr:uid="{82F21597-FD57-40E3-B4E4-7E420349EDD1}"/>
    <cellStyle name="Normal 5 3 4 3 8" xfId="3010" xr:uid="{871DD223-A07B-4648-9D73-9F0FB447BC2E}"/>
    <cellStyle name="Normal 5 3 4 3 9" xfId="2180" xr:uid="{E6C5C16F-B285-496C-9FFB-3AF39BBBA536}"/>
    <cellStyle name="Normal 5 3 4 4" xfId="931" xr:uid="{00000000-0005-0000-0000-00002D030000}"/>
    <cellStyle name="Normal 5 3 4 4 2" xfId="5651" xr:uid="{E6A594CC-77E0-4153-B457-06E298233D35}"/>
    <cellStyle name="Normal 5 3 4 4 2 2" xfId="9869" xr:uid="{3A40FEAF-BD31-4FFD-BDBF-67C2B2AF4840}"/>
    <cellStyle name="Normal 5 3 4 4 3" xfId="7724" xr:uid="{29A99B2A-7437-4A2D-B9C0-570CF6092390}"/>
    <cellStyle name="Normal 5 3 4 4 4" xfId="3422" xr:uid="{CD4380EF-4C73-4E8A-8513-3E609B77DAA1}"/>
    <cellStyle name="Normal 5 3 4 4 5" xfId="2593" xr:uid="{3F7502D4-56FC-4C4D-B605-ED7182C39705}"/>
    <cellStyle name="Normal 5 3 4 4 6" xfId="1764" xr:uid="{1D1C806E-7CEC-40F2-A019-A53BCE352875}"/>
    <cellStyle name="Normal 5 3 4 5" xfId="3835" xr:uid="{25AB6E56-B215-4ADB-97B4-47EC9CE3C244}"/>
    <cellStyle name="Normal 5 3 4 5 2" xfId="6064" xr:uid="{DFD00A6C-2594-493C-92C9-F676DFC1B1BE}"/>
    <cellStyle name="Normal 5 3 4 5 2 2" xfId="10282" xr:uid="{540E23DC-C856-4927-A981-C415A4E5F9C8}"/>
    <cellStyle name="Normal 5 3 4 5 3" xfId="8137" xr:uid="{0A3EA1AA-3212-409E-8396-40DEFD335594}"/>
    <cellStyle name="Normal 5 3 4 6" xfId="4248" xr:uid="{EB238EF0-6B5C-4BE1-8551-2480CC60F5F3}"/>
    <cellStyle name="Normal 5 3 4 6 2" xfId="6477" xr:uid="{6A6FFB25-0009-49AE-AFB2-FFE83EA24357}"/>
    <cellStyle name="Normal 5 3 4 6 2 2" xfId="10695" xr:uid="{2EA27F6C-84C9-4A77-84C1-7434668E67C8}"/>
    <cellStyle name="Normal 5 3 4 6 3" xfId="8550" xr:uid="{7A0783F8-4D44-4E4D-80AC-3E72E4EE1D8C}"/>
    <cellStyle name="Normal 5 3 4 7" xfId="4661" xr:uid="{07AB6464-3D7E-44D3-9425-4C5CFEC937DF}"/>
    <cellStyle name="Normal 5 3 4 7 2" xfId="6890" xr:uid="{24828D5E-6FB5-480F-84B7-AB1A116700B4}"/>
    <cellStyle name="Normal 5 3 4 7 2 2" xfId="11108" xr:uid="{990CD864-DEE1-463F-A801-98AB9165753F}"/>
    <cellStyle name="Normal 5 3 4 7 3" xfId="8963" xr:uid="{4AC30107-E9F1-44A5-9F16-AE761A2CC960}"/>
    <cellStyle name="Normal 5 3 4 8" xfId="5097" xr:uid="{FE2C832D-4AFD-44EF-B53E-636D16445375}"/>
    <cellStyle name="Normal 5 3 4 8 2" xfId="9376" xr:uid="{BB3B1673-0D5E-41F0-BD36-DF016C01BA04}"/>
    <cellStyle name="Normal 5 3 4 9" xfId="7311" xr:uid="{DEAADA83-BDAE-4054-BE5D-582CF27F631E}"/>
    <cellStyle name="Normal 5 3 5" xfId="456" xr:uid="{00000000-0005-0000-0000-00002E030000}"/>
    <cellStyle name="Normal 5 3 5 10" xfId="2181" xr:uid="{1D64C851-3244-4A6E-A825-34B7781A677C}"/>
    <cellStyle name="Normal 5 3 5 11" xfId="1352" xr:uid="{B9FB0418-7B51-412C-A443-9B9398F68A8C}"/>
    <cellStyle name="Normal 5 3 5 2" xfId="457" xr:uid="{00000000-0005-0000-0000-00002F030000}"/>
    <cellStyle name="Normal 5 3 5 2 10" xfId="1353" xr:uid="{DD1D9632-5975-4FA0-9DC3-37F7ECD54EFB}"/>
    <cellStyle name="Normal 5 3 5 2 2" xfId="936" xr:uid="{00000000-0005-0000-0000-000030030000}"/>
    <cellStyle name="Normal 5 3 5 2 2 2" xfId="5656" xr:uid="{85275C1A-988A-47CA-8F0D-A8A4DFB487A7}"/>
    <cellStyle name="Normal 5 3 5 2 2 2 2" xfId="9874" xr:uid="{C72D4D0B-05F6-4DC5-9CBB-F4D4F0A65971}"/>
    <cellStyle name="Normal 5 3 5 2 2 3" xfId="7729" xr:uid="{7CBF1EFB-2C02-44FF-855C-55C6084E4F7C}"/>
    <cellStyle name="Normal 5 3 5 2 2 4" xfId="3427" xr:uid="{2187738A-8299-44E5-BE0C-0B888DB15790}"/>
    <cellStyle name="Normal 5 3 5 2 2 5" xfId="2598" xr:uid="{B4ED25C6-DA9E-4B6E-A353-F382595F185E}"/>
    <cellStyle name="Normal 5 3 5 2 2 6" xfId="1769" xr:uid="{9B1B5324-6239-4546-9D09-2BD542DF67D7}"/>
    <cellStyle name="Normal 5 3 5 2 3" xfId="3840" xr:uid="{653EE3F1-4101-41AA-8188-EB34882BE83F}"/>
    <cellStyle name="Normal 5 3 5 2 3 2" xfId="6069" xr:uid="{D7BFC67B-1F82-4D00-A4B4-F3DE861C20FC}"/>
    <cellStyle name="Normal 5 3 5 2 3 2 2" xfId="10287" xr:uid="{274D60E7-C2D1-4BDF-B7D8-911A1BACDC83}"/>
    <cellStyle name="Normal 5 3 5 2 3 3" xfId="8142" xr:uid="{D5D677B9-76AC-42E4-8E45-6F735DE6141A}"/>
    <cellStyle name="Normal 5 3 5 2 4" xfId="4253" xr:uid="{EE48A8AE-592C-4BF1-8703-71A738C5AFDF}"/>
    <cellStyle name="Normal 5 3 5 2 4 2" xfId="6482" xr:uid="{A7AEE36E-C216-459F-B1EA-09E87D9CDC92}"/>
    <cellStyle name="Normal 5 3 5 2 4 2 2" xfId="10700" xr:uid="{7B3DB5D2-4AD9-43E7-A0EE-47E2CD9E0076}"/>
    <cellStyle name="Normal 5 3 5 2 4 3" xfId="8555" xr:uid="{997D5C89-1427-478D-87BA-4B94A462203D}"/>
    <cellStyle name="Normal 5 3 5 2 5" xfId="4666" xr:uid="{27D31B6B-20F0-4BCF-A26F-B23BB688C3FE}"/>
    <cellStyle name="Normal 5 3 5 2 5 2" xfId="6895" xr:uid="{4AC49BA7-657B-4795-AEDA-5CB90480F31A}"/>
    <cellStyle name="Normal 5 3 5 2 5 2 2" xfId="11113" xr:uid="{5838F130-0DE6-47FB-B3DE-BE439AAB623B}"/>
    <cellStyle name="Normal 5 3 5 2 5 3" xfId="8968" xr:uid="{25388D6A-9E8D-43A6-BC59-9D3F3543E0AA}"/>
    <cellStyle name="Normal 5 3 5 2 6" xfId="5102" xr:uid="{95F00194-1526-48A2-A077-6BCA2EF38186}"/>
    <cellStyle name="Normal 5 3 5 2 6 2" xfId="9381" xr:uid="{E4DDB1C7-9CD6-43B4-82CA-3A03CBC3A6E4}"/>
    <cellStyle name="Normal 5 3 5 2 7" xfId="7316" xr:uid="{17CA5D63-D448-42BE-95B2-AB75A014A9CC}"/>
    <cellStyle name="Normal 5 3 5 2 8" xfId="3012" xr:uid="{93DAA87E-9883-463B-BF31-35E55F12F97E}"/>
    <cellStyle name="Normal 5 3 5 2 9" xfId="2182" xr:uid="{BAB0C062-5744-44A0-B601-BC05A6281544}"/>
    <cellStyle name="Normal 5 3 5 3" xfId="935" xr:uid="{00000000-0005-0000-0000-000031030000}"/>
    <cellStyle name="Normal 5 3 5 3 2" xfId="5655" xr:uid="{73D5FE9B-2922-4B68-A948-7CF7C65A8152}"/>
    <cellStyle name="Normal 5 3 5 3 2 2" xfId="9873" xr:uid="{286D8C9D-E27D-4EB9-BDE4-C71F870AE16E}"/>
    <cellStyle name="Normal 5 3 5 3 3" xfId="7728" xr:uid="{2554A8E1-C4FD-4683-850A-70D77BD9C6D5}"/>
    <cellStyle name="Normal 5 3 5 3 4" xfId="3426" xr:uid="{273B70C6-1312-4DCA-96CE-CCD97EBACC2A}"/>
    <cellStyle name="Normal 5 3 5 3 5" xfId="2597" xr:uid="{C7ADA854-34F9-451E-992B-0280AC49ECFF}"/>
    <cellStyle name="Normal 5 3 5 3 6" xfId="1768" xr:uid="{E7880B66-5DBE-466C-A63B-7514E32D85A4}"/>
    <cellStyle name="Normal 5 3 5 4" xfId="3839" xr:uid="{C91F2D93-1828-44B9-94AD-DBE1E4819742}"/>
    <cellStyle name="Normal 5 3 5 4 2" xfId="6068" xr:uid="{43A73894-896E-4F24-8B75-3F2A3D2A480C}"/>
    <cellStyle name="Normal 5 3 5 4 2 2" xfId="10286" xr:uid="{48FA3609-D764-4D95-96B4-FE35ACE281D7}"/>
    <cellStyle name="Normal 5 3 5 4 3" xfId="8141" xr:uid="{48E794CA-F1A6-4EDF-ADA0-D3B2484E79E8}"/>
    <cellStyle name="Normal 5 3 5 5" xfId="4252" xr:uid="{34386EF2-BF69-4A24-AAE6-506D25222898}"/>
    <cellStyle name="Normal 5 3 5 5 2" xfId="6481" xr:uid="{696BD6AA-E24D-41F9-8FFA-CD43F5C5688F}"/>
    <cellStyle name="Normal 5 3 5 5 2 2" xfId="10699" xr:uid="{237B8F02-13BD-40C6-A515-4B1EDEE8B47A}"/>
    <cellStyle name="Normal 5 3 5 5 3" xfId="8554" xr:uid="{71D3C4B1-8171-44E7-8E8F-A079FE2C208B}"/>
    <cellStyle name="Normal 5 3 5 6" xfId="4665" xr:uid="{538A11EE-49DB-4EE7-B715-A23C20DD1B96}"/>
    <cellStyle name="Normal 5 3 5 6 2" xfId="6894" xr:uid="{5D85C070-2C81-41E3-A21B-56AE71B5D2CA}"/>
    <cellStyle name="Normal 5 3 5 6 2 2" xfId="11112" xr:uid="{E776ACD6-C25F-401D-8E50-B390AD034CC7}"/>
    <cellStyle name="Normal 5 3 5 6 3" xfId="8967" xr:uid="{8294B884-BD1F-4EC5-A803-DD632DAB5C73}"/>
    <cellStyle name="Normal 5 3 5 7" xfId="5101" xr:uid="{EC9129D3-3F12-46DA-96BD-A55A64BB0B36}"/>
    <cellStyle name="Normal 5 3 5 7 2" xfId="9380" xr:uid="{201398B0-4BC2-4ADA-BE0A-1EED3BB74B8D}"/>
    <cellStyle name="Normal 5 3 5 8" xfId="7315" xr:uid="{EDD17445-D305-44C4-8C1D-E024865A60DE}"/>
    <cellStyle name="Normal 5 3 5 9" xfId="3011" xr:uid="{09AB4C0B-11C1-4CDC-8202-573728110542}"/>
    <cellStyle name="Normal 5 3 6" xfId="458" xr:uid="{00000000-0005-0000-0000-000032030000}"/>
    <cellStyle name="Normal 5 3 6 10" xfId="1354" xr:uid="{560FB7DD-E901-4079-BC32-E7E0FB3E859B}"/>
    <cellStyle name="Normal 5 3 6 2" xfId="937" xr:uid="{00000000-0005-0000-0000-000033030000}"/>
    <cellStyle name="Normal 5 3 6 2 2" xfId="5657" xr:uid="{B557E6E2-4A79-44F6-B306-2921E4A00CE6}"/>
    <cellStyle name="Normal 5 3 6 2 2 2" xfId="9875" xr:uid="{86E00E35-1783-4F18-895B-0D25726D494A}"/>
    <cellStyle name="Normal 5 3 6 2 3" xfId="7730" xr:uid="{5FA60DC1-C6C8-45A0-9A6D-23FB212B269F}"/>
    <cellStyle name="Normal 5 3 6 2 4" xfId="3428" xr:uid="{25AC9698-2BEC-4DEE-84A0-886A0D000FA1}"/>
    <cellStyle name="Normal 5 3 6 2 5" xfId="2599" xr:uid="{C8F7D375-4EFD-4DEB-B35B-AD49AB19B567}"/>
    <cellStyle name="Normal 5 3 6 2 6" xfId="1770" xr:uid="{030A9902-279E-4C27-8535-604707C471D3}"/>
    <cellStyle name="Normal 5 3 6 3" xfId="3841" xr:uid="{D753E4FD-C649-472D-B012-EFCAA0CAA3BC}"/>
    <cellStyle name="Normal 5 3 6 3 2" xfId="6070" xr:uid="{F66BA9A4-85A0-45F9-9C0A-5486ABEB2A57}"/>
    <cellStyle name="Normal 5 3 6 3 2 2" xfId="10288" xr:uid="{BBCA0199-DB8B-448E-9F0E-5FBFFC4EF383}"/>
    <cellStyle name="Normal 5 3 6 3 3" xfId="8143" xr:uid="{574B1A32-00AD-45B8-9D4A-206C37786399}"/>
    <cellStyle name="Normal 5 3 6 4" xfId="4254" xr:uid="{AD949E80-CB6D-4569-86BE-BC42BFD2B840}"/>
    <cellStyle name="Normal 5 3 6 4 2" xfId="6483" xr:uid="{E8823AF2-6B32-461B-BCB8-F5BFB80C282D}"/>
    <cellStyle name="Normal 5 3 6 4 2 2" xfId="10701" xr:uid="{1B918BE4-3149-476E-971F-A3FC22AA7192}"/>
    <cellStyle name="Normal 5 3 6 4 3" xfId="8556" xr:uid="{0ADD7095-88B9-4042-B90A-A9CBBF3D4CE6}"/>
    <cellStyle name="Normal 5 3 6 5" xfId="4667" xr:uid="{55C85581-EE68-4211-B9AA-DD292884C2CF}"/>
    <cellStyle name="Normal 5 3 6 5 2" xfId="6896" xr:uid="{877E6FCB-7FF3-47F7-877F-0E6D8ADDEEFE}"/>
    <cellStyle name="Normal 5 3 6 5 2 2" xfId="11114" xr:uid="{842A3996-C824-49BB-A34B-205D2C3E75F3}"/>
    <cellStyle name="Normal 5 3 6 5 3" xfId="8969" xr:uid="{087D1F7F-58AC-4411-A4FA-60641A8783A3}"/>
    <cellStyle name="Normal 5 3 6 6" xfId="5103" xr:uid="{85B9C266-F747-450C-8273-A1DEDD26235C}"/>
    <cellStyle name="Normal 5 3 6 6 2" xfId="9382" xr:uid="{4E7D6606-53CA-4465-B02E-C1B512AF873F}"/>
    <cellStyle name="Normal 5 3 6 7" xfId="7317" xr:uid="{70C79E9A-0340-4980-86C6-19DD2025E6DE}"/>
    <cellStyle name="Normal 5 3 6 8" xfId="3013" xr:uid="{C90CDB32-4967-47BD-8CF3-0E0D7B7C4F3D}"/>
    <cellStyle name="Normal 5 3 6 9" xfId="2183" xr:uid="{3D762F07-1C9E-439D-84B2-2986E3CE5458}"/>
    <cellStyle name="Normal 5 3 7" xfId="921" xr:uid="{00000000-0005-0000-0000-000034030000}"/>
    <cellStyle name="Normal 5 3 7 2" xfId="5642" xr:uid="{4B74DE35-ADB3-4FA1-BD70-9837C40A0EB2}"/>
    <cellStyle name="Normal 5 3 7 2 2" xfId="9860" xr:uid="{7EEE46F6-D1ED-408F-8406-EE69EB4F1127}"/>
    <cellStyle name="Normal 5 3 7 3" xfId="7715" xr:uid="{8B7B527E-B0B9-437C-BC36-B33CBC9BD847}"/>
    <cellStyle name="Normal 5 3 7 4" xfId="3413" xr:uid="{4C3A2460-DCA5-4624-BDC1-16BE75EED9EB}"/>
    <cellStyle name="Normal 5 3 7 5" xfId="2584" xr:uid="{437BA372-6AFC-461A-B338-7945BFBDCFC3}"/>
    <cellStyle name="Normal 5 3 7 6" xfId="1755" xr:uid="{D00AA70C-EE3C-4741-929D-B28D7334785A}"/>
    <cellStyle name="Normal 5 3 8" xfId="3826" xr:uid="{AAFCD66C-4849-40E9-A1D6-7A40F593B767}"/>
    <cellStyle name="Normal 5 3 8 2" xfId="6055" xr:uid="{D3CC582E-048F-47B0-8C14-838009C8FF9A}"/>
    <cellStyle name="Normal 5 3 8 2 2" xfId="10273" xr:uid="{B3C3563F-FD93-48E9-B2E0-2E10039B6FBF}"/>
    <cellStyle name="Normal 5 3 8 3" xfId="8128" xr:uid="{AB79D9F9-133F-442D-A884-785B89281D55}"/>
    <cellStyle name="Normal 5 3 9" xfId="4239" xr:uid="{AB928C06-D95C-4ED6-92AE-E3B3898B8032}"/>
    <cellStyle name="Normal 5 3 9 2" xfId="6468" xr:uid="{0CCFC6A9-372B-4DAD-AC0F-1789CF754553}"/>
    <cellStyle name="Normal 5 3 9 2 2" xfId="10686" xr:uid="{3CF6D08F-1DCA-426A-9961-FCEC6C223083}"/>
    <cellStyle name="Normal 5 3 9 3" xfId="8541" xr:uid="{809C0A87-4C4B-4482-807D-01D98CA97D64}"/>
    <cellStyle name="Normal 5 4" xfId="459" xr:uid="{00000000-0005-0000-0000-000035030000}"/>
    <cellStyle name="Normal 5 4 10" xfId="7318" xr:uid="{7CB68C72-DA72-40CC-BD03-285A18426A9D}"/>
    <cellStyle name="Normal 5 4 11" xfId="3014" xr:uid="{89812C59-7D97-4F67-99E3-2B209BDD481C}"/>
    <cellStyle name="Normal 5 4 12" xfId="2184" xr:uid="{082328BD-D282-4C0F-BAD6-61DE19E8E0FF}"/>
    <cellStyle name="Normal 5 4 13" xfId="1355" xr:uid="{0F2A0F8D-5015-4706-998C-07264D5D189C}"/>
    <cellStyle name="Normal 5 4 2" xfId="460" xr:uid="{00000000-0005-0000-0000-000036030000}"/>
    <cellStyle name="Normal 5 4 2 10" xfId="3015" xr:uid="{0391C70E-3BA3-457C-9584-FB3AB07413AC}"/>
    <cellStyle name="Normal 5 4 2 11" xfId="2185" xr:uid="{0C250191-23B6-4F5A-9452-F6E379C15CFD}"/>
    <cellStyle name="Normal 5 4 2 12" xfId="1356" xr:uid="{1ABD03B8-78AD-4B19-A6D4-BD6EC451E05D}"/>
    <cellStyle name="Normal 5 4 2 2" xfId="461" xr:uid="{00000000-0005-0000-0000-000037030000}"/>
    <cellStyle name="Normal 5 4 2 2 10" xfId="2186" xr:uid="{2CDC795E-1B7D-444B-B573-B6DC0C401972}"/>
    <cellStyle name="Normal 5 4 2 2 11" xfId="1357" xr:uid="{30DE8608-49A7-4572-9239-17774E9B5184}"/>
    <cellStyle name="Normal 5 4 2 2 2" xfId="462" xr:uid="{00000000-0005-0000-0000-000038030000}"/>
    <cellStyle name="Normal 5 4 2 2 2 10" xfId="1358" xr:uid="{636C9354-4A57-40D6-A1AF-ECE07616D35C}"/>
    <cellStyle name="Normal 5 4 2 2 2 2" xfId="941" xr:uid="{00000000-0005-0000-0000-000039030000}"/>
    <cellStyle name="Normal 5 4 2 2 2 2 2" xfId="5661" xr:uid="{DB63B667-FB96-4DB6-9023-701F2AC54037}"/>
    <cellStyle name="Normal 5 4 2 2 2 2 2 2" xfId="9879" xr:uid="{F4F29B85-0320-496E-9C08-D4CF86C9C5B7}"/>
    <cellStyle name="Normal 5 4 2 2 2 2 3" xfId="7734" xr:uid="{713E182C-E774-4C75-8CB8-9C285E880E37}"/>
    <cellStyle name="Normal 5 4 2 2 2 2 4" xfId="3432" xr:uid="{E977BCA8-FE89-4BA2-AC00-96F3D175F61C}"/>
    <cellStyle name="Normal 5 4 2 2 2 2 5" xfId="2603" xr:uid="{00AC0FB5-84F2-4E04-B8FE-BB878AC7DD90}"/>
    <cellStyle name="Normal 5 4 2 2 2 2 6" xfId="1774" xr:uid="{77433F3F-57F3-4761-989E-78CB5793C932}"/>
    <cellStyle name="Normal 5 4 2 2 2 3" xfId="3845" xr:uid="{81A0AE2B-1FCE-4AFA-A488-9C678750B8F4}"/>
    <cellStyle name="Normal 5 4 2 2 2 3 2" xfId="6074" xr:uid="{1ED88396-8CE8-4066-AA3C-E853F1094379}"/>
    <cellStyle name="Normal 5 4 2 2 2 3 2 2" xfId="10292" xr:uid="{CA7352AA-BBA9-466B-8ACC-60D545B30755}"/>
    <cellStyle name="Normal 5 4 2 2 2 3 3" xfId="8147" xr:uid="{003BBF92-07D7-45DE-908E-6E98DDB7B6F2}"/>
    <cellStyle name="Normal 5 4 2 2 2 4" xfId="4258" xr:uid="{F4A603AE-8AB9-4949-AD49-8AD8EA9FE03C}"/>
    <cellStyle name="Normal 5 4 2 2 2 4 2" xfId="6487" xr:uid="{27F70052-6800-4E13-B7E6-30E6ACA2B608}"/>
    <cellStyle name="Normal 5 4 2 2 2 4 2 2" xfId="10705" xr:uid="{1EB049FD-5F0B-4DCE-96AD-471D6505C040}"/>
    <cellStyle name="Normal 5 4 2 2 2 4 3" xfId="8560" xr:uid="{6B573511-210E-4BE0-BCEF-E15D4ADCD059}"/>
    <cellStyle name="Normal 5 4 2 2 2 5" xfId="4671" xr:uid="{56F19C74-B694-4DFE-BE4D-6869BF09E8F2}"/>
    <cellStyle name="Normal 5 4 2 2 2 5 2" xfId="6900" xr:uid="{20B478FC-92AC-4694-AE0D-238AC4681AAF}"/>
    <cellStyle name="Normal 5 4 2 2 2 5 2 2" xfId="11118" xr:uid="{918B41D7-290C-48BF-897D-F691A37F50AF}"/>
    <cellStyle name="Normal 5 4 2 2 2 5 3" xfId="8973" xr:uid="{AA6E4A5D-DEF9-46B6-A16C-95311CD7812F}"/>
    <cellStyle name="Normal 5 4 2 2 2 6" xfId="5107" xr:uid="{B8B52CDA-3B07-45C4-9ED1-7D2D2F093F98}"/>
    <cellStyle name="Normal 5 4 2 2 2 6 2" xfId="9386" xr:uid="{6A965466-5851-4006-8405-D7C70EACCEC0}"/>
    <cellStyle name="Normal 5 4 2 2 2 7" xfId="7321" xr:uid="{D8DFCCF4-8539-4EA8-AB37-7C3537427D96}"/>
    <cellStyle name="Normal 5 4 2 2 2 8" xfId="3017" xr:uid="{518CD516-57AC-4D58-9727-6F2465B46578}"/>
    <cellStyle name="Normal 5 4 2 2 2 9" xfId="2187" xr:uid="{44507C77-A4EC-42FE-9286-995F4FF7988F}"/>
    <cellStyle name="Normal 5 4 2 2 3" xfId="940" xr:uid="{00000000-0005-0000-0000-00003A030000}"/>
    <cellStyle name="Normal 5 4 2 2 3 2" xfId="5660" xr:uid="{C55E742E-8FE1-4E94-98BA-3E66D5C9C090}"/>
    <cellStyle name="Normal 5 4 2 2 3 2 2" xfId="9878" xr:uid="{7A276CE4-854A-45F2-B14B-15E639EB5331}"/>
    <cellStyle name="Normal 5 4 2 2 3 3" xfId="7733" xr:uid="{D0497BF8-C885-4432-8306-73759847AF98}"/>
    <cellStyle name="Normal 5 4 2 2 3 4" xfId="3431" xr:uid="{D2306369-D197-40DA-9DB9-5307DAB5E3E9}"/>
    <cellStyle name="Normal 5 4 2 2 3 5" xfId="2602" xr:uid="{7F0E9D26-FE34-444B-B32B-ED68046A7930}"/>
    <cellStyle name="Normal 5 4 2 2 3 6" xfId="1773" xr:uid="{366DAA64-FD31-493F-AB51-4019F49D0802}"/>
    <cellStyle name="Normal 5 4 2 2 4" xfId="3844" xr:uid="{61E017DB-10A2-4FCC-9209-4D0A2A01D8B3}"/>
    <cellStyle name="Normal 5 4 2 2 4 2" xfId="6073" xr:uid="{56597A0A-6896-4007-9585-B5448CAC5173}"/>
    <cellStyle name="Normal 5 4 2 2 4 2 2" xfId="10291" xr:uid="{F9900504-B3C3-4DA4-A522-93E99511383D}"/>
    <cellStyle name="Normal 5 4 2 2 4 3" xfId="8146" xr:uid="{52769C60-7301-4FC7-98C2-D998EBC8269A}"/>
    <cellStyle name="Normal 5 4 2 2 5" xfId="4257" xr:uid="{ECB8EC45-5593-40C8-BA96-A168C62F802E}"/>
    <cellStyle name="Normal 5 4 2 2 5 2" xfId="6486" xr:uid="{A16452F9-C5B6-48C2-9AD3-F7B28DA63D39}"/>
    <cellStyle name="Normal 5 4 2 2 5 2 2" xfId="10704" xr:uid="{D9758B49-0A33-480A-A3AF-5F7D6AB9F01F}"/>
    <cellStyle name="Normal 5 4 2 2 5 3" xfId="8559" xr:uid="{CA658CC9-5E33-4302-8B4B-817274D73427}"/>
    <cellStyle name="Normal 5 4 2 2 6" xfId="4670" xr:uid="{3AEBF503-5798-4EC0-AB23-0599D631A09F}"/>
    <cellStyle name="Normal 5 4 2 2 6 2" xfId="6899" xr:uid="{AEBA1960-AFA7-4728-9200-6B567478360B}"/>
    <cellStyle name="Normal 5 4 2 2 6 2 2" xfId="11117" xr:uid="{6AF85C58-75B9-4D27-A94A-F75F886BEE30}"/>
    <cellStyle name="Normal 5 4 2 2 6 3" xfId="8972" xr:uid="{9327CFE4-8550-49B0-9BA2-BB8AA83D9466}"/>
    <cellStyle name="Normal 5 4 2 2 7" xfId="5106" xr:uid="{EA8B1C90-7C9E-426E-B21F-B81577A19BB5}"/>
    <cellStyle name="Normal 5 4 2 2 7 2" xfId="9385" xr:uid="{96963433-B781-4814-A583-3B00BD1C3951}"/>
    <cellStyle name="Normal 5 4 2 2 8" xfId="7320" xr:uid="{46E10F25-60C4-4F42-9FB6-62359DEB4161}"/>
    <cellStyle name="Normal 5 4 2 2 9" xfId="3016" xr:uid="{0D80FFD7-1F39-4DCC-8F75-23A504DB7251}"/>
    <cellStyle name="Normal 5 4 2 3" xfId="463" xr:uid="{00000000-0005-0000-0000-00003B030000}"/>
    <cellStyle name="Normal 5 4 2 3 10" xfId="1359" xr:uid="{C862F0FD-A465-4D67-A6F9-A7E09A23FF15}"/>
    <cellStyle name="Normal 5 4 2 3 2" xfId="942" xr:uid="{00000000-0005-0000-0000-00003C030000}"/>
    <cellStyle name="Normal 5 4 2 3 2 2" xfId="5662" xr:uid="{909A98D2-FCC1-4449-B521-10D724CEC822}"/>
    <cellStyle name="Normal 5 4 2 3 2 2 2" xfId="9880" xr:uid="{AFE90ED9-E10A-413C-901D-7F9D2F3A89E2}"/>
    <cellStyle name="Normal 5 4 2 3 2 3" xfId="7735" xr:uid="{6BA73DC1-4130-4260-B522-754647DD104D}"/>
    <cellStyle name="Normal 5 4 2 3 2 4" xfId="3433" xr:uid="{B1EA8166-A282-49F3-A6E1-ACFA8B763A62}"/>
    <cellStyle name="Normal 5 4 2 3 2 5" xfId="2604" xr:uid="{D52356B5-4FB5-4347-943D-5D760ABA8577}"/>
    <cellStyle name="Normal 5 4 2 3 2 6" xfId="1775" xr:uid="{A48BFF21-6909-4614-9F30-7C1AF4FD1C64}"/>
    <cellStyle name="Normal 5 4 2 3 3" xfId="3846" xr:uid="{07C0079D-330C-4653-8D82-D9AA47AD4180}"/>
    <cellStyle name="Normal 5 4 2 3 3 2" xfId="6075" xr:uid="{23F5198D-37B3-43E0-8926-463581B2970B}"/>
    <cellStyle name="Normal 5 4 2 3 3 2 2" xfId="10293" xr:uid="{B7580C13-769E-4412-B369-C0718598992A}"/>
    <cellStyle name="Normal 5 4 2 3 3 3" xfId="8148" xr:uid="{EB453122-51F4-4CFC-AFCB-F80D09D4C210}"/>
    <cellStyle name="Normal 5 4 2 3 4" xfId="4259" xr:uid="{290D4B70-1044-4161-A0F8-485F24A3CCD3}"/>
    <cellStyle name="Normal 5 4 2 3 4 2" xfId="6488" xr:uid="{B4DE5C88-A2B8-4E00-92B1-843FA469DDC2}"/>
    <cellStyle name="Normal 5 4 2 3 4 2 2" xfId="10706" xr:uid="{169B4127-47DF-4409-A636-143F044F31E3}"/>
    <cellStyle name="Normal 5 4 2 3 4 3" xfId="8561" xr:uid="{058AAC78-0D7C-4FEC-BCAE-70671E7FC093}"/>
    <cellStyle name="Normal 5 4 2 3 5" xfId="4672" xr:uid="{47C69BC0-870E-4A35-A0F1-A5F3A0E4CFF5}"/>
    <cellStyle name="Normal 5 4 2 3 5 2" xfId="6901" xr:uid="{160954D6-68A5-4DC3-9E1A-07DCAE0EBA3B}"/>
    <cellStyle name="Normal 5 4 2 3 5 2 2" xfId="11119" xr:uid="{011DC744-004F-402C-B6FA-EF23BF80B729}"/>
    <cellStyle name="Normal 5 4 2 3 5 3" xfId="8974" xr:uid="{D261867C-CA9B-427A-8D13-143F84A8658B}"/>
    <cellStyle name="Normal 5 4 2 3 6" xfId="5108" xr:uid="{A2639961-3A12-4B10-B673-C7DB3F996B16}"/>
    <cellStyle name="Normal 5 4 2 3 6 2" xfId="9387" xr:uid="{9D778214-F83B-4BC5-B4B2-DD035DC884FF}"/>
    <cellStyle name="Normal 5 4 2 3 7" xfId="7322" xr:uid="{0B9474BF-E882-48CD-9753-092500BB5A23}"/>
    <cellStyle name="Normal 5 4 2 3 8" xfId="3018" xr:uid="{894D9E63-4502-4667-A742-5585662AE007}"/>
    <cellStyle name="Normal 5 4 2 3 9" xfId="2188" xr:uid="{EB84A562-A032-4D87-BAB4-2D62B427E05E}"/>
    <cellStyle name="Normal 5 4 2 4" xfId="939" xr:uid="{00000000-0005-0000-0000-00003D030000}"/>
    <cellStyle name="Normal 5 4 2 4 2" xfId="5659" xr:uid="{A1880417-1BA0-4701-9016-6EC315F5FE84}"/>
    <cellStyle name="Normal 5 4 2 4 2 2" xfId="9877" xr:uid="{8D405C54-B6FB-4627-8D1F-736F2E46E1DD}"/>
    <cellStyle name="Normal 5 4 2 4 3" xfId="7732" xr:uid="{4C4179B8-B611-445F-9D27-2EDA04B934BE}"/>
    <cellStyle name="Normal 5 4 2 4 4" xfId="3430" xr:uid="{6938897F-6CA5-4383-950A-971A74CF22AC}"/>
    <cellStyle name="Normal 5 4 2 4 5" xfId="2601" xr:uid="{027D2EB7-2C03-4772-93EB-C6C98A49B50C}"/>
    <cellStyle name="Normal 5 4 2 4 6" xfId="1772" xr:uid="{D782A210-3816-48B3-8E34-F5863DEA7872}"/>
    <cellStyle name="Normal 5 4 2 5" xfId="3843" xr:uid="{D161B3B7-F8EC-47C1-A5B7-3430B6410B2A}"/>
    <cellStyle name="Normal 5 4 2 5 2" xfId="6072" xr:uid="{D142DC43-4E2A-4BE1-9EE2-3A32D0BEBD6A}"/>
    <cellStyle name="Normal 5 4 2 5 2 2" xfId="10290" xr:uid="{094EE6F9-2EA6-430C-B544-E94CE6CA190E}"/>
    <cellStyle name="Normal 5 4 2 5 3" xfId="8145" xr:uid="{26C6401D-66A9-4CC7-A0C8-64382E62365E}"/>
    <cellStyle name="Normal 5 4 2 6" xfId="4256" xr:uid="{EB6D4398-FF8B-4C9E-8DD7-1594AA07A72E}"/>
    <cellStyle name="Normal 5 4 2 6 2" xfId="6485" xr:uid="{94503F54-732D-463A-8B4E-D0784DE77B8B}"/>
    <cellStyle name="Normal 5 4 2 6 2 2" xfId="10703" xr:uid="{8C3EB509-7D0D-4747-B20E-59F672B39AA8}"/>
    <cellStyle name="Normal 5 4 2 6 3" xfId="8558" xr:uid="{1B4B8783-2B29-4047-BDEE-6B482C031356}"/>
    <cellStyle name="Normal 5 4 2 7" xfId="4669" xr:uid="{36CEA9D4-02A5-4560-A863-3190BE1A5DF5}"/>
    <cellStyle name="Normal 5 4 2 7 2" xfId="6898" xr:uid="{8B5A4BCE-D443-4FF8-8EB0-47636A17804F}"/>
    <cellStyle name="Normal 5 4 2 7 2 2" xfId="11116" xr:uid="{C00573A0-0465-4AFC-B84D-FF40856899B0}"/>
    <cellStyle name="Normal 5 4 2 7 3" xfId="8971" xr:uid="{ECBF8E6E-9633-41B0-AEEF-C7FB013935B6}"/>
    <cellStyle name="Normal 5 4 2 8" xfId="5105" xr:uid="{183770B5-8DD5-4832-B67E-211AF44C8393}"/>
    <cellStyle name="Normal 5 4 2 8 2" xfId="9384" xr:uid="{63FE1869-D133-4043-835F-E2D5CAA30BF8}"/>
    <cellStyle name="Normal 5 4 2 9" xfId="7319" xr:uid="{02BE21AF-D308-445C-A6A0-EDE7A52D05D1}"/>
    <cellStyle name="Normal 5 4 3" xfId="464" xr:uid="{00000000-0005-0000-0000-00003E030000}"/>
    <cellStyle name="Normal 5 4 3 10" xfId="2189" xr:uid="{EE72E58B-620B-408C-B37F-C6F76F3DA589}"/>
    <cellStyle name="Normal 5 4 3 11" xfId="1360" xr:uid="{F623116E-1F45-4A0A-A95F-5AF125D7FE52}"/>
    <cellStyle name="Normal 5 4 3 2" xfId="465" xr:uid="{00000000-0005-0000-0000-00003F030000}"/>
    <cellStyle name="Normal 5 4 3 2 10" xfId="1361" xr:uid="{AD99A019-8C28-489C-9CE9-05D0923D5626}"/>
    <cellStyle name="Normal 5 4 3 2 2" xfId="944" xr:uid="{00000000-0005-0000-0000-000040030000}"/>
    <cellStyle name="Normal 5 4 3 2 2 2" xfId="5664" xr:uid="{7B3454A0-CAF2-4D11-9DDD-032F7A706A1F}"/>
    <cellStyle name="Normal 5 4 3 2 2 2 2" xfId="9882" xr:uid="{91D865A2-F379-47E7-B996-7D127FEB57BA}"/>
    <cellStyle name="Normal 5 4 3 2 2 3" xfId="7737" xr:uid="{E27CB9DD-01D7-4D0E-9152-5B871C9D6FE5}"/>
    <cellStyle name="Normal 5 4 3 2 2 4" xfId="3435" xr:uid="{ED6CC94D-630A-438E-AFDB-49C32B8C3548}"/>
    <cellStyle name="Normal 5 4 3 2 2 5" xfId="2606" xr:uid="{75D13540-0C16-42C0-9E86-F278E66F6C85}"/>
    <cellStyle name="Normal 5 4 3 2 2 6" xfId="1777" xr:uid="{37446103-72B0-4BEB-A008-405A40545F49}"/>
    <cellStyle name="Normal 5 4 3 2 3" xfId="3848" xr:uid="{A3131D08-DD76-495C-902D-D8BEBB79A93E}"/>
    <cellStyle name="Normal 5 4 3 2 3 2" xfId="6077" xr:uid="{10C2D8DD-8FE8-4161-8DEA-D813945FCF50}"/>
    <cellStyle name="Normal 5 4 3 2 3 2 2" xfId="10295" xr:uid="{01B7329A-6E7E-4B63-A5FE-342EDF1592E3}"/>
    <cellStyle name="Normal 5 4 3 2 3 3" xfId="8150" xr:uid="{32DFB431-AFDA-47DD-881B-EA8F0DB6ED86}"/>
    <cellStyle name="Normal 5 4 3 2 4" xfId="4261" xr:uid="{E252041A-EBD7-4F42-80E2-1CF3593A4A0A}"/>
    <cellStyle name="Normal 5 4 3 2 4 2" xfId="6490" xr:uid="{684A996A-C61A-4347-9923-9F1628D6830B}"/>
    <cellStyle name="Normal 5 4 3 2 4 2 2" xfId="10708" xr:uid="{FD783D06-E98F-4BA1-BB78-41967C635B64}"/>
    <cellStyle name="Normal 5 4 3 2 4 3" xfId="8563" xr:uid="{3E66AD4D-B1A8-487B-97B9-E5C183BE94C8}"/>
    <cellStyle name="Normal 5 4 3 2 5" xfId="4674" xr:uid="{9D4BEE05-0864-4328-A9AB-D1EF58AA5E66}"/>
    <cellStyle name="Normal 5 4 3 2 5 2" xfId="6903" xr:uid="{9807B82F-102F-418D-BC5A-79013D3D2B54}"/>
    <cellStyle name="Normal 5 4 3 2 5 2 2" xfId="11121" xr:uid="{4C41A7DD-5A35-4DF4-90A6-2ABB82027604}"/>
    <cellStyle name="Normal 5 4 3 2 5 3" xfId="8976" xr:uid="{510FBD90-7C32-48A3-8A67-1BF8996335E2}"/>
    <cellStyle name="Normal 5 4 3 2 6" xfId="5110" xr:uid="{1B7DF3E5-5617-4B6A-BFD1-EEE1C2B9F700}"/>
    <cellStyle name="Normal 5 4 3 2 6 2" xfId="9389" xr:uid="{B0FED659-485C-4A7E-B269-1AF26952BE0B}"/>
    <cellStyle name="Normal 5 4 3 2 7" xfId="7324" xr:uid="{04F0CD35-D488-4069-A241-31E45EBF71E5}"/>
    <cellStyle name="Normal 5 4 3 2 8" xfId="3020" xr:uid="{E8AFE5BD-1FBD-41FF-BD6B-38573CDB708B}"/>
    <cellStyle name="Normal 5 4 3 2 9" xfId="2190" xr:uid="{0D63139B-B5E4-4E6C-B2FB-AECE2340C85D}"/>
    <cellStyle name="Normal 5 4 3 3" xfId="943" xr:uid="{00000000-0005-0000-0000-000041030000}"/>
    <cellStyle name="Normal 5 4 3 3 2" xfId="5663" xr:uid="{96B84003-07F7-4223-B4FB-B54049F87449}"/>
    <cellStyle name="Normal 5 4 3 3 2 2" xfId="9881" xr:uid="{D30E3C4B-EA93-4B7B-9182-FF3B4D3B4971}"/>
    <cellStyle name="Normal 5 4 3 3 3" xfId="7736" xr:uid="{AC49C029-392A-4FD6-A30C-0CD8699C299E}"/>
    <cellStyle name="Normal 5 4 3 3 4" xfId="3434" xr:uid="{A186437C-F4CC-438E-8E43-F06DD0208C63}"/>
    <cellStyle name="Normal 5 4 3 3 5" xfId="2605" xr:uid="{97C2814E-2570-4820-86ED-9DEAC7764DA4}"/>
    <cellStyle name="Normal 5 4 3 3 6" xfId="1776" xr:uid="{726446C6-0D77-48C3-9620-CE6FB6EC48F9}"/>
    <cellStyle name="Normal 5 4 3 4" xfId="3847" xr:uid="{C13BF46B-3CD4-47FA-8B35-A5D942D94DB6}"/>
    <cellStyle name="Normal 5 4 3 4 2" xfId="6076" xr:uid="{5F00C177-1D00-47B5-A4B0-F79A4D9C45C8}"/>
    <cellStyle name="Normal 5 4 3 4 2 2" xfId="10294" xr:uid="{4507A1AC-AD2B-47B1-BDB2-7B49263D9AB7}"/>
    <cellStyle name="Normal 5 4 3 4 3" xfId="8149" xr:uid="{7DCC855F-C8CF-4521-8DF4-778C37ED653C}"/>
    <cellStyle name="Normal 5 4 3 5" xfId="4260" xr:uid="{FFA1CE6D-C402-472C-8D71-B0A202DF5B11}"/>
    <cellStyle name="Normal 5 4 3 5 2" xfId="6489" xr:uid="{D14D852B-4552-4ACD-B318-91330AE4FB2C}"/>
    <cellStyle name="Normal 5 4 3 5 2 2" xfId="10707" xr:uid="{26567292-2622-4145-B714-1CD2D619D248}"/>
    <cellStyle name="Normal 5 4 3 5 3" xfId="8562" xr:uid="{28299279-D712-469F-8612-E3FA0EE692F0}"/>
    <cellStyle name="Normal 5 4 3 6" xfId="4673" xr:uid="{BFA748BF-274E-4687-BF65-25658E15FB1E}"/>
    <cellStyle name="Normal 5 4 3 6 2" xfId="6902" xr:uid="{C437F3EA-A743-4CF7-952A-673318E85DF6}"/>
    <cellStyle name="Normal 5 4 3 6 2 2" xfId="11120" xr:uid="{64D6159C-A112-43BD-8C05-2823CA54A432}"/>
    <cellStyle name="Normal 5 4 3 6 3" xfId="8975" xr:uid="{79161F53-0941-41F8-8144-0A2FCD4D15A0}"/>
    <cellStyle name="Normal 5 4 3 7" xfId="5109" xr:uid="{7FF41527-9B89-41B2-85B6-A09C41BC7E44}"/>
    <cellStyle name="Normal 5 4 3 7 2" xfId="9388" xr:uid="{B33C1E4C-2FC2-4DEC-AFF2-CF29D8BB8DB7}"/>
    <cellStyle name="Normal 5 4 3 8" xfId="7323" xr:uid="{E0DCBA33-303B-4009-9906-33FC4D9D81B4}"/>
    <cellStyle name="Normal 5 4 3 9" xfId="3019" xr:uid="{E1324912-C6A6-4BB8-8C06-CDD8819F1B19}"/>
    <cellStyle name="Normal 5 4 4" xfId="466" xr:uid="{00000000-0005-0000-0000-000042030000}"/>
    <cellStyle name="Normal 5 4 4 10" xfId="1362" xr:uid="{ED5995E9-8D81-4F56-8AF8-513886F6515A}"/>
    <cellStyle name="Normal 5 4 4 2" xfId="945" xr:uid="{00000000-0005-0000-0000-000043030000}"/>
    <cellStyle name="Normal 5 4 4 2 2" xfId="5665" xr:uid="{D4BB4B7D-F376-4CA3-BD38-799129E7EFB5}"/>
    <cellStyle name="Normal 5 4 4 2 2 2" xfId="9883" xr:uid="{226D9F63-D332-44B1-984E-57A079B11E26}"/>
    <cellStyle name="Normal 5 4 4 2 3" xfId="7738" xr:uid="{AB713495-0B0C-48CE-BED4-B542813D9E27}"/>
    <cellStyle name="Normal 5 4 4 2 4" xfId="3436" xr:uid="{ED30557B-DEEF-4FCF-9C60-DE4B6E5D834E}"/>
    <cellStyle name="Normal 5 4 4 2 5" xfId="2607" xr:uid="{522CDCD7-B1BF-4FE5-816B-DF9E0A1EF1A5}"/>
    <cellStyle name="Normal 5 4 4 2 6" xfId="1778" xr:uid="{EE3E7C92-0292-4B70-9844-F0ACDC238926}"/>
    <cellStyle name="Normal 5 4 4 3" xfId="3849" xr:uid="{9BEBC570-7B14-41A4-95E8-A07988371627}"/>
    <cellStyle name="Normal 5 4 4 3 2" xfId="6078" xr:uid="{07933DE4-F00D-44FE-84B1-CEB832B673EC}"/>
    <cellStyle name="Normal 5 4 4 3 2 2" xfId="10296" xr:uid="{FDF397D7-4871-4F47-8049-2ED6E9339B1C}"/>
    <cellStyle name="Normal 5 4 4 3 3" xfId="8151" xr:uid="{F3654922-0932-44D4-9C30-8F4F6C1C8251}"/>
    <cellStyle name="Normal 5 4 4 4" xfId="4262" xr:uid="{FBF49840-970A-46E1-9657-AD473C1C3293}"/>
    <cellStyle name="Normal 5 4 4 4 2" xfId="6491" xr:uid="{634BB8D2-6752-4CF9-9EB2-495A54BE40FE}"/>
    <cellStyle name="Normal 5 4 4 4 2 2" xfId="10709" xr:uid="{B02DCA48-314B-4312-A7E9-E34F87FB09FE}"/>
    <cellStyle name="Normal 5 4 4 4 3" xfId="8564" xr:uid="{EC3BBBE0-7A72-486C-B527-8C4D5748438F}"/>
    <cellStyle name="Normal 5 4 4 5" xfId="4675" xr:uid="{90681D36-9EFA-4CE8-AD55-2B63BD51E8A2}"/>
    <cellStyle name="Normal 5 4 4 5 2" xfId="6904" xr:uid="{3F9C6F51-226D-4CBB-B084-24EAD894243D}"/>
    <cellStyle name="Normal 5 4 4 5 2 2" xfId="11122" xr:uid="{0BEF8E45-E4BC-46C3-AA59-078C782762D3}"/>
    <cellStyle name="Normal 5 4 4 5 3" xfId="8977" xr:uid="{41C593C2-ABD0-48E2-B256-24D771D7DE4B}"/>
    <cellStyle name="Normal 5 4 4 6" xfId="5111" xr:uid="{7794358B-F5E9-4881-9604-0ED6F4E48323}"/>
    <cellStyle name="Normal 5 4 4 6 2" xfId="9390" xr:uid="{05D7D366-9F31-4E0C-A7F0-76CAB0F0E4FF}"/>
    <cellStyle name="Normal 5 4 4 7" xfId="7325" xr:uid="{F9DC5D7F-F2E4-47A9-A728-94B098F5C6C9}"/>
    <cellStyle name="Normal 5 4 4 8" xfId="3021" xr:uid="{148B4DE1-2738-43C1-A708-EC6A960868A0}"/>
    <cellStyle name="Normal 5 4 4 9" xfId="2191" xr:uid="{FFFA4446-3834-42E7-8835-9E4B21115EDC}"/>
    <cellStyle name="Normal 5 4 5" xfId="938" xr:uid="{00000000-0005-0000-0000-000044030000}"/>
    <cellStyle name="Normal 5 4 5 2" xfId="5658" xr:uid="{33C5F5EB-9A51-4145-9994-3ADA4807BBE7}"/>
    <cellStyle name="Normal 5 4 5 2 2" xfId="9876" xr:uid="{AB218E08-3E50-4647-9233-F01231EB79B6}"/>
    <cellStyle name="Normal 5 4 5 3" xfId="7731" xr:uid="{9BEC2935-2E1B-490E-9BE7-81075F85B48D}"/>
    <cellStyle name="Normal 5 4 5 4" xfId="3429" xr:uid="{FC7D35FF-95C2-431F-817A-AA338EE4AE19}"/>
    <cellStyle name="Normal 5 4 5 5" xfId="2600" xr:uid="{BC69F052-A457-4F96-8FA1-CFF33C9CAF99}"/>
    <cellStyle name="Normal 5 4 5 6" xfId="1771" xr:uid="{503C68DC-E062-4840-BF33-F8B5EDC07E66}"/>
    <cellStyle name="Normal 5 4 6" xfId="3842" xr:uid="{6BBAC4B9-04F5-46B8-BB8A-32B8B04F9484}"/>
    <cellStyle name="Normal 5 4 6 2" xfId="6071" xr:uid="{1E49B9B0-6C29-4D9F-B036-B85BC7394BFF}"/>
    <cellStyle name="Normal 5 4 6 2 2" xfId="10289" xr:uid="{7B8590EE-36CF-4E77-8A95-743A18AC34C2}"/>
    <cellStyle name="Normal 5 4 6 3" xfId="8144" xr:uid="{3972D882-ADAF-4458-994A-0122915D1B70}"/>
    <cellStyle name="Normal 5 4 7" xfId="4255" xr:uid="{F61A1185-4C20-4DF9-B509-CEE907D521E9}"/>
    <cellStyle name="Normal 5 4 7 2" xfId="6484" xr:uid="{549DD83F-A42B-43DC-A1F6-08BD13B58897}"/>
    <cellStyle name="Normal 5 4 7 2 2" xfId="10702" xr:uid="{3D0DDD90-5DB0-470D-A8A7-2CE3452FD1BF}"/>
    <cellStyle name="Normal 5 4 7 3" xfId="8557" xr:uid="{8B25FB20-E16E-458A-9641-98B500CD5823}"/>
    <cellStyle name="Normal 5 4 8" xfId="4668" xr:uid="{6352DE3E-6ACD-4C91-85E1-3DA009E63A02}"/>
    <cellStyle name="Normal 5 4 8 2" xfId="6897" xr:uid="{4D30D741-B80B-405E-9F64-F1CDD54CD440}"/>
    <cellStyle name="Normal 5 4 8 2 2" xfId="11115" xr:uid="{CE3B9AFF-5FED-4383-BB3D-9428CF65A106}"/>
    <cellStyle name="Normal 5 4 8 3" xfId="8970" xr:uid="{45AE0630-C405-4355-80AF-92E298931793}"/>
    <cellStyle name="Normal 5 4 9" xfId="5104" xr:uid="{5408A060-7ED6-4D15-B8AD-9CF212CE6392}"/>
    <cellStyle name="Normal 5 4 9 2" xfId="9383" xr:uid="{23F650B0-95A5-45AA-A827-15686C0AB8C7}"/>
    <cellStyle name="Normal 5 5" xfId="467" xr:uid="{00000000-0005-0000-0000-000045030000}"/>
    <cellStyle name="Normal 5 5 10" xfId="3022" xr:uid="{A27790C9-7B76-4A84-9FAA-BA4D0330EDF8}"/>
    <cellStyle name="Normal 5 5 11" xfId="2192" xr:uid="{2137D139-4C72-4198-BAFB-A6D46EFF61FE}"/>
    <cellStyle name="Normal 5 5 12" xfId="1363" xr:uid="{65F1A057-1B36-49CE-BB80-2D53FB9B87DF}"/>
    <cellStyle name="Normal 5 5 2" xfId="468" xr:uid="{00000000-0005-0000-0000-000046030000}"/>
    <cellStyle name="Normal 5 5 2 10" xfId="2193" xr:uid="{0A173850-60CC-40FC-A466-99E82FDB0285}"/>
    <cellStyle name="Normal 5 5 2 11" xfId="1364" xr:uid="{23D5A4B9-4CCA-468B-8291-168CBA0168AD}"/>
    <cellStyle name="Normal 5 5 2 2" xfId="469" xr:uid="{00000000-0005-0000-0000-000047030000}"/>
    <cellStyle name="Normal 5 5 2 2 10" xfId="1365" xr:uid="{D11F423E-3586-4D4C-8E38-08131DC42721}"/>
    <cellStyle name="Normal 5 5 2 2 2" xfId="948" xr:uid="{00000000-0005-0000-0000-000048030000}"/>
    <cellStyle name="Normal 5 5 2 2 2 2" xfId="5668" xr:uid="{02749892-A41B-4684-88F9-8B25A10AA14D}"/>
    <cellStyle name="Normal 5 5 2 2 2 2 2" xfId="9886" xr:uid="{6022F5AF-0851-4D46-9720-BEE4DC4B5FDD}"/>
    <cellStyle name="Normal 5 5 2 2 2 3" xfId="7741" xr:uid="{AC99A5AD-DFA1-45B1-9634-B4CBF84E2B8C}"/>
    <cellStyle name="Normal 5 5 2 2 2 4" xfId="3439" xr:uid="{FD273348-5D6A-40B4-ADC9-6EAF00C5EF68}"/>
    <cellStyle name="Normal 5 5 2 2 2 5" xfId="2610" xr:uid="{A05292CE-38DA-471C-8F88-5A2BA017F680}"/>
    <cellStyle name="Normal 5 5 2 2 2 6" xfId="1781" xr:uid="{56C632F3-6F71-46CD-BD72-39DACBFA6C49}"/>
    <cellStyle name="Normal 5 5 2 2 3" xfId="3852" xr:uid="{358ADC0A-1668-4D0C-9399-71D8A3A08F54}"/>
    <cellStyle name="Normal 5 5 2 2 3 2" xfId="6081" xr:uid="{89018847-0BA4-49E8-951A-53B3D2276A83}"/>
    <cellStyle name="Normal 5 5 2 2 3 2 2" xfId="10299" xr:uid="{CB95B85E-855C-4FDF-B240-CCDB255F3978}"/>
    <cellStyle name="Normal 5 5 2 2 3 3" xfId="8154" xr:uid="{5E1D0004-40D2-42C0-B0E6-A81CF3692973}"/>
    <cellStyle name="Normal 5 5 2 2 4" xfId="4265" xr:uid="{A2B1A61C-4A96-422B-868C-E30CE2E418AF}"/>
    <cellStyle name="Normal 5 5 2 2 4 2" xfId="6494" xr:uid="{129A6B2E-44E5-4CFA-A489-0A350142A20F}"/>
    <cellStyle name="Normal 5 5 2 2 4 2 2" xfId="10712" xr:uid="{AE34949C-4E9E-4E03-8F74-D3DE6D60E5F9}"/>
    <cellStyle name="Normal 5 5 2 2 4 3" xfId="8567" xr:uid="{08AFF7C4-7F27-4941-9F10-DFE9C6B99B64}"/>
    <cellStyle name="Normal 5 5 2 2 5" xfId="4678" xr:uid="{B4A0B570-2462-4F6B-83A4-DBE5DF3AC493}"/>
    <cellStyle name="Normal 5 5 2 2 5 2" xfId="6907" xr:uid="{D94D6CD7-B859-43C7-883E-E3ED1EB41E90}"/>
    <cellStyle name="Normal 5 5 2 2 5 2 2" xfId="11125" xr:uid="{7BE59967-0119-449C-935C-8A9E83EA022B}"/>
    <cellStyle name="Normal 5 5 2 2 5 3" xfId="8980" xr:uid="{9E0BAE8F-E234-4408-9D1C-823FFC8E0069}"/>
    <cellStyle name="Normal 5 5 2 2 6" xfId="5114" xr:uid="{F4B51D98-032E-4D7F-A502-DBA02FF51747}"/>
    <cellStyle name="Normal 5 5 2 2 6 2" xfId="9393" xr:uid="{7CA9612A-C7A3-4209-AA42-8D498911E8D0}"/>
    <cellStyle name="Normal 5 5 2 2 7" xfId="7328" xr:uid="{F4AAA3DD-DE0E-4212-9F36-D44DB2589D94}"/>
    <cellStyle name="Normal 5 5 2 2 8" xfId="3024" xr:uid="{6E1168B3-0A19-43B0-B715-83D703BB7920}"/>
    <cellStyle name="Normal 5 5 2 2 9" xfId="2194" xr:uid="{7DFDC8CF-AE5F-48B9-8376-C3F49202D431}"/>
    <cellStyle name="Normal 5 5 2 3" xfId="947" xr:uid="{00000000-0005-0000-0000-000049030000}"/>
    <cellStyle name="Normal 5 5 2 3 2" xfId="5667" xr:uid="{B55A6E0D-851D-40B6-A9A9-66D65EC1DF84}"/>
    <cellStyle name="Normal 5 5 2 3 2 2" xfId="9885" xr:uid="{E3D54A48-29A1-4CB9-A407-E232352C79E8}"/>
    <cellStyle name="Normal 5 5 2 3 3" xfId="7740" xr:uid="{A3C12691-B80D-4B03-883C-0F84E6448E2C}"/>
    <cellStyle name="Normal 5 5 2 3 4" xfId="3438" xr:uid="{D978E9B8-7682-42E6-8455-BF12F408E91B}"/>
    <cellStyle name="Normal 5 5 2 3 5" xfId="2609" xr:uid="{7D7A7F67-E5AF-413C-B0F5-121A5F372986}"/>
    <cellStyle name="Normal 5 5 2 3 6" xfId="1780" xr:uid="{DB3F796D-32CB-4FE1-AD4D-9E07BC30CD24}"/>
    <cellStyle name="Normal 5 5 2 4" xfId="3851" xr:uid="{CC026587-C8BB-451F-B743-B1749E97D97F}"/>
    <cellStyle name="Normal 5 5 2 4 2" xfId="6080" xr:uid="{EC65705A-7892-4157-975F-D3C1C22709FA}"/>
    <cellStyle name="Normal 5 5 2 4 2 2" xfId="10298" xr:uid="{9555AE0C-9E3E-4B07-923D-D91C0023FFF1}"/>
    <cellStyle name="Normal 5 5 2 4 3" xfId="8153" xr:uid="{2803BBE9-C0B0-421B-958F-887EBD0B71AE}"/>
    <cellStyle name="Normal 5 5 2 5" xfId="4264" xr:uid="{2F993541-A456-4D54-87BD-4CCE25AF93F7}"/>
    <cellStyle name="Normal 5 5 2 5 2" xfId="6493" xr:uid="{9814ADEE-6321-48C2-9FDA-718974E5F71E}"/>
    <cellStyle name="Normal 5 5 2 5 2 2" xfId="10711" xr:uid="{5A83BD9A-B00F-45BF-B85F-9F0EE2C03117}"/>
    <cellStyle name="Normal 5 5 2 5 3" xfId="8566" xr:uid="{06C9C9D5-5F08-4844-9C3A-F2A1722E898C}"/>
    <cellStyle name="Normal 5 5 2 6" xfId="4677" xr:uid="{F5BBE28B-49A5-4A88-8E21-3BD857AA4A3E}"/>
    <cellStyle name="Normal 5 5 2 6 2" xfId="6906" xr:uid="{C4021F34-1A1C-4EEF-8936-B3B7C55CDD89}"/>
    <cellStyle name="Normal 5 5 2 6 2 2" xfId="11124" xr:uid="{714C5AA9-64FA-4D4E-9D65-78C570B5B13F}"/>
    <cellStyle name="Normal 5 5 2 6 3" xfId="8979" xr:uid="{8A18B92E-BE61-4EE3-895D-E2601B3F5523}"/>
    <cellStyle name="Normal 5 5 2 7" xfId="5113" xr:uid="{3B525BEE-82FE-42A0-8119-65C8B099312B}"/>
    <cellStyle name="Normal 5 5 2 7 2" xfId="9392" xr:uid="{FB2F449A-E0C4-4581-B8BB-8583EEE235F9}"/>
    <cellStyle name="Normal 5 5 2 8" xfId="7327" xr:uid="{D538C375-B4F2-47E8-8854-739A65EAC2A7}"/>
    <cellStyle name="Normal 5 5 2 9" xfId="3023" xr:uid="{CEBAEB6A-6D76-4B6E-8355-AFF490A20D6D}"/>
    <cellStyle name="Normal 5 5 3" xfId="470" xr:uid="{00000000-0005-0000-0000-00004A030000}"/>
    <cellStyle name="Normal 5 5 3 10" xfId="1366" xr:uid="{F91002D9-E981-46FA-9D35-FB47F1856A1F}"/>
    <cellStyle name="Normal 5 5 3 2" xfId="949" xr:uid="{00000000-0005-0000-0000-00004B030000}"/>
    <cellStyle name="Normal 5 5 3 2 2" xfId="5669" xr:uid="{9A302948-6F33-4F39-B43F-122B16530C95}"/>
    <cellStyle name="Normal 5 5 3 2 2 2" xfId="9887" xr:uid="{18B151DE-A59F-4A64-84C7-7ABA8643969E}"/>
    <cellStyle name="Normal 5 5 3 2 3" xfId="7742" xr:uid="{B89EEB82-7A08-45EA-BFE9-C64C15253A2C}"/>
    <cellStyle name="Normal 5 5 3 2 4" xfId="3440" xr:uid="{78D966D8-7BF6-4ED4-9E44-725FB0EE7D74}"/>
    <cellStyle name="Normal 5 5 3 2 5" xfId="2611" xr:uid="{07290774-AC7B-4F90-BEA7-0399DC49CFDC}"/>
    <cellStyle name="Normal 5 5 3 2 6" xfId="1782" xr:uid="{18C44462-D553-4432-AE3B-3476CD99EABA}"/>
    <cellStyle name="Normal 5 5 3 3" xfId="3853" xr:uid="{5CA13FB7-2862-4D60-B802-7D8DEDD2CC7E}"/>
    <cellStyle name="Normal 5 5 3 3 2" xfId="6082" xr:uid="{6804F69A-8770-4BB3-9CD8-AF601F0228F2}"/>
    <cellStyle name="Normal 5 5 3 3 2 2" xfId="10300" xr:uid="{8230E154-E53D-42CF-8608-968D961F5B97}"/>
    <cellStyle name="Normal 5 5 3 3 3" xfId="8155" xr:uid="{E9DB2A61-BBFE-4063-8F44-ED8BCF7E6AC5}"/>
    <cellStyle name="Normal 5 5 3 4" xfId="4266" xr:uid="{6E25B167-C5CC-4494-B952-BDEA302F4B65}"/>
    <cellStyle name="Normal 5 5 3 4 2" xfId="6495" xr:uid="{BB035412-84D6-49E3-894F-704F433B206E}"/>
    <cellStyle name="Normal 5 5 3 4 2 2" xfId="10713" xr:uid="{0832D066-BCBD-4A6D-9DDC-8FDD4DD0921E}"/>
    <cellStyle name="Normal 5 5 3 4 3" xfId="8568" xr:uid="{A4402359-E812-46DC-8E44-A54A9D30A29A}"/>
    <cellStyle name="Normal 5 5 3 5" xfId="4679" xr:uid="{5EB72A92-A246-4977-9E3D-CDD63098E773}"/>
    <cellStyle name="Normal 5 5 3 5 2" xfId="6908" xr:uid="{4E4922C3-3613-430D-AC0C-F9BC72F76898}"/>
    <cellStyle name="Normal 5 5 3 5 2 2" xfId="11126" xr:uid="{A093FDBD-D442-4906-AE5A-9C62E44DC798}"/>
    <cellStyle name="Normal 5 5 3 5 3" xfId="8981" xr:uid="{69933B63-C17B-44C9-B017-44F21BD3CFF1}"/>
    <cellStyle name="Normal 5 5 3 6" xfId="5115" xr:uid="{DF9FFD8D-96EB-41F4-A110-FAF87FE6162F}"/>
    <cellStyle name="Normal 5 5 3 6 2" xfId="9394" xr:uid="{2086FEA3-38A2-49E5-B209-F1B94D975DA6}"/>
    <cellStyle name="Normal 5 5 3 7" xfId="7329" xr:uid="{19746855-B37F-4894-ADCD-A1F89BB1999D}"/>
    <cellStyle name="Normal 5 5 3 8" xfId="3025" xr:uid="{A7AFAB23-7492-4B9F-A5F8-8539F6E35824}"/>
    <cellStyle name="Normal 5 5 3 9" xfId="2195" xr:uid="{E529BCD8-E85E-4424-87CB-501C5CEF44A7}"/>
    <cellStyle name="Normal 5 5 4" xfId="946" xr:uid="{00000000-0005-0000-0000-00004C030000}"/>
    <cellStyle name="Normal 5 5 4 2" xfId="5666" xr:uid="{994F1165-0F51-4217-B482-B60277C68D47}"/>
    <cellStyle name="Normal 5 5 4 2 2" xfId="9884" xr:uid="{18C3D07E-25EF-4B99-989F-338E98A093D6}"/>
    <cellStyle name="Normal 5 5 4 3" xfId="7739" xr:uid="{9797656E-4177-4B25-8A95-0444F6D5215B}"/>
    <cellStyle name="Normal 5 5 4 4" xfId="3437" xr:uid="{3500B09E-A55B-4EA4-B83E-31F3932A3392}"/>
    <cellStyle name="Normal 5 5 4 5" xfId="2608" xr:uid="{EED0226E-EF34-484E-B2BE-ADB47D1F205E}"/>
    <cellStyle name="Normal 5 5 4 6" xfId="1779" xr:uid="{894270F0-9F4A-41E9-A8D1-6A1929D157AE}"/>
    <cellStyle name="Normal 5 5 5" xfId="3850" xr:uid="{DC31F3BC-A904-4BD6-BAFB-EFF7423F1D75}"/>
    <cellStyle name="Normal 5 5 5 2" xfId="6079" xr:uid="{05BFD0BF-FC5C-454D-BE0E-874AEA88E398}"/>
    <cellStyle name="Normal 5 5 5 2 2" xfId="10297" xr:uid="{C4EFFFFF-507C-4A80-9209-A7115BF23DBD}"/>
    <cellStyle name="Normal 5 5 5 3" xfId="8152" xr:uid="{7666BE7E-AC11-4280-992E-AA93BC92A92E}"/>
    <cellStyle name="Normal 5 5 6" xfId="4263" xr:uid="{B3CA0DEB-92AE-4B8D-A48D-73F7BFF35863}"/>
    <cellStyle name="Normal 5 5 6 2" xfId="6492" xr:uid="{78F36FB6-6D3C-484C-BF1D-7A1FB72837E1}"/>
    <cellStyle name="Normal 5 5 6 2 2" xfId="10710" xr:uid="{A9A4ED1F-0B9F-4257-AB16-F6118A5651B3}"/>
    <cellStyle name="Normal 5 5 6 3" xfId="8565" xr:uid="{06977834-580E-4422-ACF8-3C95DE0498B8}"/>
    <cellStyle name="Normal 5 5 7" xfId="4676" xr:uid="{E5F606CA-7B05-488F-B037-8C41789485FB}"/>
    <cellStyle name="Normal 5 5 7 2" xfId="6905" xr:uid="{1B26D6E3-DC5E-4CC6-861C-ACEF16772D28}"/>
    <cellStyle name="Normal 5 5 7 2 2" xfId="11123" xr:uid="{494D90A2-6230-4164-BA4A-72D3B9D2061F}"/>
    <cellStyle name="Normal 5 5 7 3" xfId="8978" xr:uid="{D41EE8BC-40C4-4115-9DFB-512CD0821849}"/>
    <cellStyle name="Normal 5 5 8" xfId="5112" xr:uid="{F2C799DB-77F3-4AFD-9DEA-D993515CA130}"/>
    <cellStyle name="Normal 5 5 8 2" xfId="9391" xr:uid="{13AB547F-33F3-4108-9278-08289AC122B0}"/>
    <cellStyle name="Normal 5 5 9" xfId="7326" xr:uid="{6882CD6B-E2EE-4C70-A923-B807A37DB61A}"/>
    <cellStyle name="Normal 5 6" xfId="471" xr:uid="{00000000-0005-0000-0000-00004D030000}"/>
    <cellStyle name="Normal 5 6 10" xfId="2196" xr:uid="{D4A65A49-581A-4F60-978F-A9AA290DD0C0}"/>
    <cellStyle name="Normal 5 6 11" xfId="1367" xr:uid="{66237AF8-97C8-4FCE-998B-06A3332469D7}"/>
    <cellStyle name="Normal 5 6 2" xfId="472" xr:uid="{00000000-0005-0000-0000-00004E030000}"/>
    <cellStyle name="Normal 5 6 2 10" xfId="1368" xr:uid="{B1E9C7D5-44D1-4552-AB29-6970B1337690}"/>
    <cellStyle name="Normal 5 6 2 2" xfId="951" xr:uid="{00000000-0005-0000-0000-00004F030000}"/>
    <cellStyle name="Normal 5 6 2 2 2" xfId="5671" xr:uid="{570CF31B-F9F0-4900-B34F-D5EBB8AFFACA}"/>
    <cellStyle name="Normal 5 6 2 2 2 2" xfId="9889" xr:uid="{B701A6AB-965A-4B8C-A03A-6473298DE874}"/>
    <cellStyle name="Normal 5 6 2 2 3" xfId="7744" xr:uid="{A7F401C6-19B9-44D1-BF6C-D215BAD2E993}"/>
    <cellStyle name="Normal 5 6 2 2 4" xfId="3442" xr:uid="{AB7BB430-2CA7-49E3-8693-4DB84F6450C3}"/>
    <cellStyle name="Normal 5 6 2 2 5" xfId="2613" xr:uid="{6BFC85C2-6CC2-4707-BBB5-3CD9C91D2214}"/>
    <cellStyle name="Normal 5 6 2 2 6" xfId="1784" xr:uid="{51422922-BD75-47DB-A101-EDBA2FAF2248}"/>
    <cellStyle name="Normal 5 6 2 3" xfId="3855" xr:uid="{914150A9-F34C-4ED6-B297-0149677502FB}"/>
    <cellStyle name="Normal 5 6 2 3 2" xfId="6084" xr:uid="{D2CFE2EC-C72C-40C4-8B1D-09BB62A2F3E1}"/>
    <cellStyle name="Normal 5 6 2 3 2 2" xfId="10302" xr:uid="{A4BD7239-C932-44C1-92A3-BBBF998E5A4C}"/>
    <cellStyle name="Normal 5 6 2 3 3" xfId="8157" xr:uid="{B9A16364-ADAB-4FEB-8A18-8C8944EBC154}"/>
    <cellStyle name="Normal 5 6 2 4" xfId="4268" xr:uid="{7D2E9DCE-F041-44CE-B420-05585187E182}"/>
    <cellStyle name="Normal 5 6 2 4 2" xfId="6497" xr:uid="{641323E5-DEF8-4BF1-89CC-DD25B1CAA14F}"/>
    <cellStyle name="Normal 5 6 2 4 2 2" xfId="10715" xr:uid="{D12B695B-2798-40F3-8D0E-D1842FE82B6A}"/>
    <cellStyle name="Normal 5 6 2 4 3" xfId="8570" xr:uid="{0A3D9ABC-B0EA-4F55-97BD-59851E3A34E3}"/>
    <cellStyle name="Normal 5 6 2 5" xfId="4681" xr:uid="{C0CBE214-38C5-4198-A22F-5F1D6430F2E5}"/>
    <cellStyle name="Normal 5 6 2 5 2" xfId="6910" xr:uid="{F06740B1-1D3C-4C77-9F7B-6F1D545DA021}"/>
    <cellStyle name="Normal 5 6 2 5 2 2" xfId="11128" xr:uid="{46107625-AA45-4597-809B-922995998485}"/>
    <cellStyle name="Normal 5 6 2 5 3" xfId="8983" xr:uid="{311D473A-1296-46F3-B2CD-E48FB4B6C655}"/>
    <cellStyle name="Normal 5 6 2 6" xfId="5117" xr:uid="{066A86A6-9F9D-4930-B960-360B1C72D677}"/>
    <cellStyle name="Normal 5 6 2 6 2" xfId="9396" xr:uid="{FB355B78-63DA-4822-8729-4EDBAF537A89}"/>
    <cellStyle name="Normal 5 6 2 7" xfId="7331" xr:uid="{E6D68959-A9CD-461F-A84F-65C08BC6C4DF}"/>
    <cellStyle name="Normal 5 6 2 8" xfId="3027" xr:uid="{6E2BA106-EA5C-4606-9AB8-AE543F53B7E0}"/>
    <cellStyle name="Normal 5 6 2 9" xfId="2197" xr:uid="{CF1E2813-5D0F-4D3F-8640-53C6F153FB64}"/>
    <cellStyle name="Normal 5 6 3" xfId="950" xr:uid="{00000000-0005-0000-0000-000050030000}"/>
    <cellStyle name="Normal 5 6 3 2" xfId="5670" xr:uid="{6FE9837D-9D5F-44AB-ADD0-6E0CBE0E80F5}"/>
    <cellStyle name="Normal 5 6 3 2 2" xfId="9888" xr:uid="{71B7A7EB-91D8-4A3A-84ED-BA95EB627250}"/>
    <cellStyle name="Normal 5 6 3 3" xfId="7743" xr:uid="{098B647E-ABE4-4010-9998-99450ED24523}"/>
    <cellStyle name="Normal 5 6 3 4" xfId="3441" xr:uid="{5A448C6B-0FC6-48ED-9059-C4F549A3095E}"/>
    <cellStyle name="Normal 5 6 3 5" xfId="2612" xr:uid="{4114F247-087A-496C-B0A9-338FC6D7FB89}"/>
    <cellStyle name="Normal 5 6 3 6" xfId="1783" xr:uid="{DB77F666-1967-4057-AE4F-FD274B981C54}"/>
    <cellStyle name="Normal 5 6 4" xfId="3854" xr:uid="{3C4E17AB-2930-4600-B8E9-CAF5BBEE64D5}"/>
    <cellStyle name="Normal 5 6 4 2" xfId="6083" xr:uid="{6B3494B9-522A-4CA4-BCE0-84688166AEB1}"/>
    <cellStyle name="Normal 5 6 4 2 2" xfId="10301" xr:uid="{EBE0BBE0-9306-49BA-BC01-1E9DD258E86E}"/>
    <cellStyle name="Normal 5 6 4 3" xfId="8156" xr:uid="{F5517234-405F-4757-BD65-D67CDD9A6399}"/>
    <cellStyle name="Normal 5 6 5" xfId="4267" xr:uid="{2A669B0C-CD64-4048-BFDF-1FDA51F68810}"/>
    <cellStyle name="Normal 5 6 5 2" xfId="6496" xr:uid="{9D986350-0412-49E7-82F1-A4DDBEC6BF80}"/>
    <cellStyle name="Normal 5 6 5 2 2" xfId="10714" xr:uid="{CC81878A-12CE-4A92-B562-6131E4CBD0D5}"/>
    <cellStyle name="Normal 5 6 5 3" xfId="8569" xr:uid="{4692339A-E03B-4799-AF68-D86AFC7477BC}"/>
    <cellStyle name="Normal 5 6 6" xfId="4680" xr:uid="{A071B24C-E0EC-4F6E-93E9-03839DF59126}"/>
    <cellStyle name="Normal 5 6 6 2" xfId="6909" xr:uid="{08B9EAB7-52CA-4BC8-B02B-70F20621CD42}"/>
    <cellStyle name="Normal 5 6 6 2 2" xfId="11127" xr:uid="{01FC3FC9-2ED3-4146-BED6-4B6C8CC20B54}"/>
    <cellStyle name="Normal 5 6 6 3" xfId="8982" xr:uid="{72A5F6FE-9BFD-4999-BD27-824AB6802B50}"/>
    <cellStyle name="Normal 5 6 7" xfId="5116" xr:uid="{87D436F2-E453-4B78-A7D7-CBF2C5516F1D}"/>
    <cellStyle name="Normal 5 6 7 2" xfId="9395" xr:uid="{88575FA9-B9AA-48E4-AE20-25D7FE994217}"/>
    <cellStyle name="Normal 5 6 8" xfId="7330" xr:uid="{33BE3887-C9CE-4380-99A9-730F998E9719}"/>
    <cellStyle name="Normal 5 6 9" xfId="3026" xr:uid="{EA3C8735-A1A3-4B69-96DD-1242411E2DE9}"/>
    <cellStyle name="Normal 5 7" xfId="473" xr:uid="{00000000-0005-0000-0000-000051030000}"/>
    <cellStyle name="Normal 5 7 10" xfId="1369" xr:uid="{FBF5A4B9-7EB1-492A-BD26-1D9454036D6D}"/>
    <cellStyle name="Normal 5 7 2" xfId="952" xr:uid="{00000000-0005-0000-0000-000052030000}"/>
    <cellStyle name="Normal 5 7 2 2" xfId="5672" xr:uid="{9DA3F1EA-5175-43EC-935C-D22170E1093E}"/>
    <cellStyle name="Normal 5 7 2 2 2" xfId="9890" xr:uid="{403078EB-4816-4300-BF02-4D6A3A2A5427}"/>
    <cellStyle name="Normal 5 7 2 3" xfId="7745" xr:uid="{A0247DD8-CF47-4D59-824B-7D8909D691EB}"/>
    <cellStyle name="Normal 5 7 2 4" xfId="3443" xr:uid="{7BD1690E-3C76-495F-BA2C-BA18FED9097E}"/>
    <cellStyle name="Normal 5 7 2 5" xfId="2614" xr:uid="{7CD9DA03-2CF4-4EFA-AD54-DD6EA0773418}"/>
    <cellStyle name="Normal 5 7 2 6" xfId="1785" xr:uid="{66FAB08B-4BD3-4D16-9301-227D78D34223}"/>
    <cellStyle name="Normal 5 7 3" xfId="3856" xr:uid="{550F4DFA-C3BC-4D37-BFCE-BC947DB7973F}"/>
    <cellStyle name="Normal 5 7 3 2" xfId="6085" xr:uid="{49725D3D-5E00-4C34-AD3D-C9A1FA5BE0D8}"/>
    <cellStyle name="Normal 5 7 3 2 2" xfId="10303" xr:uid="{178DC6EE-4F4E-4C85-95D2-241B42BCE45B}"/>
    <cellStyle name="Normal 5 7 3 3" xfId="8158" xr:uid="{A074B2A5-DDA7-4465-B23A-914A348B74F9}"/>
    <cellStyle name="Normal 5 7 4" xfId="4269" xr:uid="{AB2952FD-0DAC-435C-BAB7-2F8407491A90}"/>
    <cellStyle name="Normal 5 7 4 2" xfId="6498" xr:uid="{C881D16B-06E1-4F0F-A595-B491903BFAFF}"/>
    <cellStyle name="Normal 5 7 4 2 2" xfId="10716" xr:uid="{1A892ECD-C75F-4EC1-9FE0-B21A8F0074EF}"/>
    <cellStyle name="Normal 5 7 4 3" xfId="8571" xr:uid="{D20A2C71-8013-4E7F-BF5D-2A119DE22C98}"/>
    <cellStyle name="Normal 5 7 5" xfId="4682" xr:uid="{3D5F7B55-BCB2-4BCE-9B17-DB00914F0ED6}"/>
    <cellStyle name="Normal 5 7 5 2" xfId="6911" xr:uid="{889FDC50-2E22-4CDA-A9DF-1ADE6674DE6B}"/>
    <cellStyle name="Normal 5 7 5 2 2" xfId="11129" xr:uid="{656FFB6B-B243-410C-BB87-01872F6142A4}"/>
    <cellStyle name="Normal 5 7 5 3" xfId="8984" xr:uid="{687D3C1A-C745-4F3A-9E83-00CCED825FE7}"/>
    <cellStyle name="Normal 5 7 6" xfId="5118" xr:uid="{F912701E-D067-4C98-8427-F433BAE5E6E4}"/>
    <cellStyle name="Normal 5 7 6 2" xfId="9397" xr:uid="{CF4369EC-81AB-4BB8-B130-365A6617257A}"/>
    <cellStyle name="Normal 5 7 7" xfId="7332" xr:uid="{D664CC29-835C-4726-B21D-D9C247EC38B2}"/>
    <cellStyle name="Normal 5 7 8" xfId="3028" xr:uid="{230692F8-6B11-4506-807D-F1A47A6F9D96}"/>
    <cellStyle name="Normal 5 7 9" xfId="2198" xr:uid="{6C395308-4315-4150-BF7D-419A87FEBDF3}"/>
    <cellStyle name="Normal 5 8" xfId="888" xr:uid="{00000000-0005-0000-0000-000053030000}"/>
    <cellStyle name="Normal 5 8 2" xfId="5609" xr:uid="{D879FF2B-86B7-4FC2-B49C-C72F9C8F3962}"/>
    <cellStyle name="Normal 5 8 2 2" xfId="9827" xr:uid="{36EE49BB-25C4-4312-B6B8-9F546B286190}"/>
    <cellStyle name="Normal 5 8 3" xfId="7682" xr:uid="{61B2BFEC-AF42-4F05-8CD7-6A99A1AE34E3}"/>
    <cellStyle name="Normal 5 8 4" xfId="3380" xr:uid="{CAA4A867-F682-4B09-BEF1-CF85C883CEDC}"/>
    <cellStyle name="Normal 5 8 5" xfId="2551" xr:uid="{2CE056BD-498E-4C2D-831F-B2F5984DDC49}"/>
    <cellStyle name="Normal 5 8 6" xfId="1722" xr:uid="{A1ED58DE-A237-4F58-BA3C-589D7C6D2437}"/>
    <cellStyle name="Normal 5 9" xfId="3793" xr:uid="{DCF0A887-5F7B-4343-A47D-B89247328B9F}"/>
    <cellStyle name="Normal 5 9 2" xfId="6022" xr:uid="{F86BBF3B-521D-4C82-BCA9-DF15B63B71D7}"/>
    <cellStyle name="Normal 5 9 2 2" xfId="10240" xr:uid="{CB8CBED1-7A79-4A8F-B7A9-CC1FC93B1423}"/>
    <cellStyle name="Normal 5 9 3" xfId="8095" xr:uid="{BFF4B898-0DD0-4D91-9C8F-AEDA29850DC6}"/>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4683" xr:uid="{BD4226C7-8FC6-4723-AA72-C8D8A8E3471D}"/>
    <cellStyle name="Normal 8 10 2" xfId="6912" xr:uid="{B8A570AC-8B77-4E04-A8A2-AD72AD0909E5}"/>
    <cellStyle name="Normal 8 10 2 2" xfId="11130" xr:uid="{9EC9C626-B018-49E4-96D9-13E27B539696}"/>
    <cellStyle name="Normal 8 10 3" xfId="8985" xr:uid="{71C96D7C-04C4-4345-8E33-B8235B8D684D}"/>
    <cellStyle name="Normal 8 11" xfId="5119" xr:uid="{886E83DA-D517-44FE-8E94-288346E2E6D6}"/>
    <cellStyle name="Normal 8 11 2" xfId="9398" xr:uid="{D5906F89-ABFE-48C4-BFE5-0A46BD761DBE}"/>
    <cellStyle name="Normal 8 12" xfId="7333" xr:uid="{4149F11F-6F31-46D7-8BDF-54E8A4E7EF31}"/>
    <cellStyle name="Normal 8 13" xfId="3029" xr:uid="{E2810C11-23D3-4A68-9FFD-78FDD33D1918}"/>
    <cellStyle name="Normal 8 14" xfId="2199" xr:uid="{22BCD3D0-29CA-4002-AD6A-D2AAD1B96C4E}"/>
    <cellStyle name="Normal 8 15" xfId="1370" xr:uid="{E0BD3570-9366-460C-92A5-6D851CD7F9EC}"/>
    <cellStyle name="Normal 8 2" xfId="482" xr:uid="{00000000-0005-0000-0000-00005C030000}"/>
    <cellStyle name="Normal 8 2 10" xfId="5120" xr:uid="{80268108-9679-4A98-BF1A-1605A06A9E67}"/>
    <cellStyle name="Normal 8 2 10 2" xfId="9399" xr:uid="{EE92830C-E4CA-4C4C-A594-788FD5D638EC}"/>
    <cellStyle name="Normal 8 2 11" xfId="7334" xr:uid="{86614B27-A5C2-4A3E-B370-705AAE35CF90}"/>
    <cellStyle name="Normal 8 2 12" xfId="3030" xr:uid="{CBCE75D8-6D23-4168-B8F7-40B1D27FDC30}"/>
    <cellStyle name="Normal 8 2 13" xfId="2200" xr:uid="{F35E55B9-9117-4EF9-BC25-8CF3A858EC54}"/>
    <cellStyle name="Normal 8 2 14" xfId="1371" xr:uid="{F26D3AE6-4D99-44BA-98FB-A0DC9207C851}"/>
    <cellStyle name="Normal 8 2 2" xfId="483" xr:uid="{00000000-0005-0000-0000-00005D030000}"/>
    <cellStyle name="Normal 8 2 2 10" xfId="7335" xr:uid="{E4AAEA6C-5B63-4B81-8182-883B61EC598F}"/>
    <cellStyle name="Normal 8 2 2 11" xfId="3031" xr:uid="{00079A0E-9947-426F-AF4D-D3BC25978D7C}"/>
    <cellStyle name="Normal 8 2 2 12" xfId="2201" xr:uid="{8039E52D-A0C7-4E59-B95F-4F0935EC47E4}"/>
    <cellStyle name="Normal 8 2 2 13" xfId="1372" xr:uid="{19C1C708-AA6A-4A68-B8B2-B3A525693682}"/>
    <cellStyle name="Normal 8 2 2 2" xfId="484" xr:uid="{00000000-0005-0000-0000-00005E030000}"/>
    <cellStyle name="Normal 8 2 2 2 10" xfId="3032" xr:uid="{C5581A33-0080-49E9-AEA4-641D0FCD5B8E}"/>
    <cellStyle name="Normal 8 2 2 2 11" xfId="2202" xr:uid="{747BB5D8-6C4A-4460-BD42-5A9B42385347}"/>
    <cellStyle name="Normal 8 2 2 2 12" xfId="1373" xr:uid="{60101E87-63BD-4973-B4A1-6D52E1FDB9C6}"/>
    <cellStyle name="Normal 8 2 2 2 2" xfId="485" xr:uid="{00000000-0005-0000-0000-00005F030000}"/>
    <cellStyle name="Normal 8 2 2 2 2 10" xfId="2203" xr:uid="{64633342-4043-493A-A8ED-AE9375E4ABDB}"/>
    <cellStyle name="Normal 8 2 2 2 2 11" xfId="1374" xr:uid="{3EC4D534-E22A-48F9-A5EE-638CECDAF7AC}"/>
    <cellStyle name="Normal 8 2 2 2 2 2" xfId="486" xr:uid="{00000000-0005-0000-0000-000060030000}"/>
    <cellStyle name="Normal 8 2 2 2 2 2 10" xfId="1375" xr:uid="{1866D894-C962-47A0-8A8F-0671A5AD0179}"/>
    <cellStyle name="Normal 8 2 2 2 2 2 2" xfId="958" xr:uid="{00000000-0005-0000-0000-000061030000}"/>
    <cellStyle name="Normal 8 2 2 2 2 2 2 2" xfId="5678" xr:uid="{969DB256-DA05-4A8A-97C5-33DA6A4AA983}"/>
    <cellStyle name="Normal 8 2 2 2 2 2 2 2 2" xfId="9896" xr:uid="{E4C44991-5057-4783-931F-26573124E6CF}"/>
    <cellStyle name="Normal 8 2 2 2 2 2 2 3" xfId="7751" xr:uid="{28DCB624-14AE-45F0-946C-668C1022AF84}"/>
    <cellStyle name="Normal 8 2 2 2 2 2 2 4" xfId="3449" xr:uid="{D548736F-3CBE-46CE-92C8-EBB7FD87C305}"/>
    <cellStyle name="Normal 8 2 2 2 2 2 2 5" xfId="2620" xr:uid="{CB68EE46-ACA8-4F1B-B147-9C5393399DAD}"/>
    <cellStyle name="Normal 8 2 2 2 2 2 2 6" xfId="1791" xr:uid="{C8BEC7E8-0B02-4DC1-94B8-CF0DEEC2643F}"/>
    <cellStyle name="Normal 8 2 2 2 2 2 3" xfId="3862" xr:uid="{F3D13B82-8FAB-4727-A8FA-3B828B6F7BAC}"/>
    <cellStyle name="Normal 8 2 2 2 2 2 3 2" xfId="6091" xr:uid="{26783AF6-CC09-437F-93C0-4CD7BF30A056}"/>
    <cellStyle name="Normal 8 2 2 2 2 2 3 2 2" xfId="10309" xr:uid="{F3523F1B-471B-4087-95E0-150F9003B92B}"/>
    <cellStyle name="Normal 8 2 2 2 2 2 3 3" xfId="8164" xr:uid="{4DAFC6BF-608E-4C3C-B33C-2658ADAA9B70}"/>
    <cellStyle name="Normal 8 2 2 2 2 2 4" xfId="4275" xr:uid="{E44DB04A-DC5C-4222-B7FE-7481081016C3}"/>
    <cellStyle name="Normal 8 2 2 2 2 2 4 2" xfId="6504" xr:uid="{91004F08-2B32-4A08-8241-61D4325F46AE}"/>
    <cellStyle name="Normal 8 2 2 2 2 2 4 2 2" xfId="10722" xr:uid="{ABFCA60F-1DD8-45BE-8EFF-FD111987FDFF}"/>
    <cellStyle name="Normal 8 2 2 2 2 2 4 3" xfId="8577" xr:uid="{AA836E99-0920-4413-A4A5-2D1B1BF243E9}"/>
    <cellStyle name="Normal 8 2 2 2 2 2 5" xfId="4688" xr:uid="{13520A4A-159B-4946-8E28-360C3CEBA1EC}"/>
    <cellStyle name="Normal 8 2 2 2 2 2 5 2" xfId="6917" xr:uid="{1F572264-D70B-454A-B895-7BEB7FDDCD4F}"/>
    <cellStyle name="Normal 8 2 2 2 2 2 5 2 2" xfId="11135" xr:uid="{6EC8D5E7-773C-43FB-82A8-387547AFE975}"/>
    <cellStyle name="Normal 8 2 2 2 2 2 5 3" xfId="8990" xr:uid="{ABC72405-C003-4C6F-A53A-B914865CD9DF}"/>
    <cellStyle name="Normal 8 2 2 2 2 2 6" xfId="5124" xr:uid="{2C0B044E-0C6C-464F-AE8A-0D9C8F8DE352}"/>
    <cellStyle name="Normal 8 2 2 2 2 2 6 2" xfId="9403" xr:uid="{E3C25E77-B021-45B0-A57D-8318A31D5BF8}"/>
    <cellStyle name="Normal 8 2 2 2 2 2 7" xfId="7338" xr:uid="{31E9797F-5E5A-4B52-88F3-BFCBF840E97A}"/>
    <cellStyle name="Normal 8 2 2 2 2 2 8" xfId="3034" xr:uid="{602424E3-25C1-4720-B16B-1D5BFF05407E}"/>
    <cellStyle name="Normal 8 2 2 2 2 2 9" xfId="2204" xr:uid="{6E6133EB-46E2-4AEB-AE3E-E6FD944B78B0}"/>
    <cellStyle name="Normal 8 2 2 2 2 3" xfId="957" xr:uid="{00000000-0005-0000-0000-000062030000}"/>
    <cellStyle name="Normal 8 2 2 2 2 3 2" xfId="5677" xr:uid="{8781090A-CF23-431F-922B-2198CC091896}"/>
    <cellStyle name="Normal 8 2 2 2 2 3 2 2" xfId="9895" xr:uid="{C8F8DB76-3BCB-4303-AA65-ED1C61A3642F}"/>
    <cellStyle name="Normal 8 2 2 2 2 3 3" xfId="7750" xr:uid="{A4563773-7975-4029-B21C-63CE5A98952F}"/>
    <cellStyle name="Normal 8 2 2 2 2 3 4" xfId="3448" xr:uid="{A7E8FA58-9BE1-40B3-ADAE-D2D0FFCC858C}"/>
    <cellStyle name="Normal 8 2 2 2 2 3 5" xfId="2619" xr:uid="{D9D9FA9D-B85A-429D-A075-73ED772967FC}"/>
    <cellStyle name="Normal 8 2 2 2 2 3 6" xfId="1790" xr:uid="{5311C35C-E0B8-424B-97F0-56C85E7CB45B}"/>
    <cellStyle name="Normal 8 2 2 2 2 4" xfId="3861" xr:uid="{3F5DA2FC-1C18-437E-B08B-0972307739BF}"/>
    <cellStyle name="Normal 8 2 2 2 2 4 2" xfId="6090" xr:uid="{7E7E61DE-3388-4016-B2C9-5AB5C7D843FF}"/>
    <cellStyle name="Normal 8 2 2 2 2 4 2 2" xfId="10308" xr:uid="{63B74C28-CAEB-4A10-8269-FC9249116D01}"/>
    <cellStyle name="Normal 8 2 2 2 2 4 3" xfId="8163" xr:uid="{CC8EFB42-9061-47AB-9787-121D18BF3880}"/>
    <cellStyle name="Normal 8 2 2 2 2 5" xfId="4274" xr:uid="{F8751FD7-B23E-451B-B0E2-3BFBE72D1D02}"/>
    <cellStyle name="Normal 8 2 2 2 2 5 2" xfId="6503" xr:uid="{674D781B-B46D-437F-AC63-4DB371E2402E}"/>
    <cellStyle name="Normal 8 2 2 2 2 5 2 2" xfId="10721" xr:uid="{F608BB8D-8C77-4025-9ECC-898E0AD1F710}"/>
    <cellStyle name="Normal 8 2 2 2 2 5 3" xfId="8576" xr:uid="{46017162-44F8-4D0F-AA44-3BA2D8995C35}"/>
    <cellStyle name="Normal 8 2 2 2 2 6" xfId="4687" xr:uid="{100FCF75-32B1-4FDF-9A9E-FC82F8DDF419}"/>
    <cellStyle name="Normal 8 2 2 2 2 6 2" xfId="6916" xr:uid="{2155577D-3796-4A7D-8FD5-8858C0921779}"/>
    <cellStyle name="Normal 8 2 2 2 2 6 2 2" xfId="11134" xr:uid="{7CF6E4F8-4A9C-4457-90F0-13BF830BC408}"/>
    <cellStyle name="Normal 8 2 2 2 2 6 3" xfId="8989" xr:uid="{6E1E1F13-BCB2-4F86-AA07-087C75D60291}"/>
    <cellStyle name="Normal 8 2 2 2 2 7" xfId="5123" xr:uid="{BE9A34AD-CFF7-4693-9B3F-99872D259BD3}"/>
    <cellStyle name="Normal 8 2 2 2 2 7 2" xfId="9402" xr:uid="{289FBF86-81C8-4278-B972-39BE7D8628ED}"/>
    <cellStyle name="Normal 8 2 2 2 2 8" xfId="7337" xr:uid="{912058D6-1BFF-42D8-9D54-591DBB2F53BE}"/>
    <cellStyle name="Normal 8 2 2 2 2 9" xfId="3033" xr:uid="{4FF337B7-C62D-412D-9CD5-AF765507B9E3}"/>
    <cellStyle name="Normal 8 2 2 2 3" xfId="487" xr:uid="{00000000-0005-0000-0000-000063030000}"/>
    <cellStyle name="Normal 8 2 2 2 3 10" xfId="1376" xr:uid="{7B24CD40-7A0A-4696-A2F9-02F72F601D78}"/>
    <cellStyle name="Normal 8 2 2 2 3 2" xfId="959" xr:uid="{00000000-0005-0000-0000-000064030000}"/>
    <cellStyle name="Normal 8 2 2 2 3 2 2" xfId="5679" xr:uid="{DAA2B707-68E1-417C-A093-C0676802B051}"/>
    <cellStyle name="Normal 8 2 2 2 3 2 2 2" xfId="9897" xr:uid="{3DC74089-D4C3-4270-A549-198A81E5F2B2}"/>
    <cellStyle name="Normal 8 2 2 2 3 2 3" xfId="7752" xr:uid="{E1AA6F42-718C-4863-B437-4881EC9B65CB}"/>
    <cellStyle name="Normal 8 2 2 2 3 2 4" xfId="3450" xr:uid="{EA953E05-A12F-494E-A8C9-3204055F3266}"/>
    <cellStyle name="Normal 8 2 2 2 3 2 5" xfId="2621" xr:uid="{E84DCFE5-A85F-4996-A904-373515955EDB}"/>
    <cellStyle name="Normal 8 2 2 2 3 2 6" xfId="1792" xr:uid="{AB7D862F-AE17-44BE-8EED-35D9916EE837}"/>
    <cellStyle name="Normal 8 2 2 2 3 3" xfId="3863" xr:uid="{5BB97DBA-3CC6-4F29-9595-B0984F161638}"/>
    <cellStyle name="Normal 8 2 2 2 3 3 2" xfId="6092" xr:uid="{9DDD7FB1-1ADB-4CC0-AF78-07384BCA4231}"/>
    <cellStyle name="Normal 8 2 2 2 3 3 2 2" xfId="10310" xr:uid="{B0956354-982F-4683-B26A-602C252D356A}"/>
    <cellStyle name="Normal 8 2 2 2 3 3 3" xfId="8165" xr:uid="{6F49B38D-BD41-456A-A6F4-34E08E11C8D2}"/>
    <cellStyle name="Normal 8 2 2 2 3 4" xfId="4276" xr:uid="{8FE6E42B-F9F7-4E05-9659-B6541FDB4EF8}"/>
    <cellStyle name="Normal 8 2 2 2 3 4 2" xfId="6505" xr:uid="{7055433C-35EB-4311-8CA9-C6AF8F169A54}"/>
    <cellStyle name="Normal 8 2 2 2 3 4 2 2" xfId="10723" xr:uid="{027B0C84-787B-4D4B-A1F8-59671160721C}"/>
    <cellStyle name="Normal 8 2 2 2 3 4 3" xfId="8578" xr:uid="{83215146-6646-42CF-A2B0-822A05E48BE1}"/>
    <cellStyle name="Normal 8 2 2 2 3 5" xfId="4689" xr:uid="{0F166926-6575-4BDE-8096-017A6E3B0445}"/>
    <cellStyle name="Normal 8 2 2 2 3 5 2" xfId="6918" xr:uid="{A68FBEED-43E2-42CD-8172-D28475C68110}"/>
    <cellStyle name="Normal 8 2 2 2 3 5 2 2" xfId="11136" xr:uid="{A5779385-EB41-407F-8E09-E3C518DC5A45}"/>
    <cellStyle name="Normal 8 2 2 2 3 5 3" xfId="8991" xr:uid="{E4B48F4F-B08D-4898-BA6C-9C60F8818CFA}"/>
    <cellStyle name="Normal 8 2 2 2 3 6" xfId="5125" xr:uid="{1F7D1417-50AD-4EA1-B1C0-B42806CFD051}"/>
    <cellStyle name="Normal 8 2 2 2 3 6 2" xfId="9404" xr:uid="{E31198F0-B76F-4B2F-8AF6-49010AEF804D}"/>
    <cellStyle name="Normal 8 2 2 2 3 7" xfId="7339" xr:uid="{EA8D6568-058A-4BA7-9385-8C4CF50234DA}"/>
    <cellStyle name="Normal 8 2 2 2 3 8" xfId="3035" xr:uid="{1D8A312B-C513-443E-B3DF-47FE53A90272}"/>
    <cellStyle name="Normal 8 2 2 2 3 9" xfId="2205" xr:uid="{854F196A-5F4D-4FC0-A1A1-6A1168FA4F63}"/>
    <cellStyle name="Normal 8 2 2 2 4" xfId="956" xr:uid="{00000000-0005-0000-0000-000065030000}"/>
    <cellStyle name="Normal 8 2 2 2 4 2" xfId="5676" xr:uid="{9A35F656-B8ED-4648-B14F-D59D4A7317B7}"/>
    <cellStyle name="Normal 8 2 2 2 4 2 2" xfId="9894" xr:uid="{E6822601-53F5-4918-8F03-6A079E96A1F9}"/>
    <cellStyle name="Normal 8 2 2 2 4 3" xfId="7749" xr:uid="{D38C9B51-9162-4336-B237-0CB455753709}"/>
    <cellStyle name="Normal 8 2 2 2 4 4" xfId="3447" xr:uid="{33328E6B-9F51-46BC-82AC-C81F062BD1B4}"/>
    <cellStyle name="Normal 8 2 2 2 4 5" xfId="2618" xr:uid="{C4C33660-6BE6-4662-A258-22B375FD981D}"/>
    <cellStyle name="Normal 8 2 2 2 4 6" xfId="1789" xr:uid="{826121E0-F098-4346-AB88-DC122095F258}"/>
    <cellStyle name="Normal 8 2 2 2 5" xfId="3860" xr:uid="{16CA9F52-A153-4394-B4C5-C1EFBDD26ABB}"/>
    <cellStyle name="Normal 8 2 2 2 5 2" xfId="6089" xr:uid="{FF751829-9110-4271-AF85-F82BC6AA17F6}"/>
    <cellStyle name="Normal 8 2 2 2 5 2 2" xfId="10307" xr:uid="{C2505AD7-F709-4EFC-96D9-E926806C2068}"/>
    <cellStyle name="Normal 8 2 2 2 5 3" xfId="8162" xr:uid="{3D0B4587-14D0-4DA1-91DA-87D930677514}"/>
    <cellStyle name="Normal 8 2 2 2 6" xfId="4273" xr:uid="{003095AF-1701-4925-87D9-A08CC8A27F34}"/>
    <cellStyle name="Normal 8 2 2 2 6 2" xfId="6502" xr:uid="{CA927337-3B63-4282-B455-A5B393E585C4}"/>
    <cellStyle name="Normal 8 2 2 2 6 2 2" xfId="10720" xr:uid="{C04C9511-23F6-4333-B628-4EE9F7D013B1}"/>
    <cellStyle name="Normal 8 2 2 2 6 3" xfId="8575" xr:uid="{DE0DD2AE-37DC-4169-B80B-39B54DA99301}"/>
    <cellStyle name="Normal 8 2 2 2 7" xfId="4686" xr:uid="{6950CF5E-5F87-4CD6-A971-69F532084455}"/>
    <cellStyle name="Normal 8 2 2 2 7 2" xfId="6915" xr:uid="{9A71DEA2-2F2B-485A-8F18-9B48A12A4E83}"/>
    <cellStyle name="Normal 8 2 2 2 7 2 2" xfId="11133" xr:uid="{E6F74EAF-EDFA-4E4F-868A-9BBDA83118B0}"/>
    <cellStyle name="Normal 8 2 2 2 7 3" xfId="8988" xr:uid="{5EB88490-BFA8-4CA4-8F48-1C22D0F9EA31}"/>
    <cellStyle name="Normal 8 2 2 2 8" xfId="5122" xr:uid="{0F6F8971-A223-4AE5-9C07-AB5327BB2993}"/>
    <cellStyle name="Normal 8 2 2 2 8 2" xfId="9401" xr:uid="{E619B222-31F5-4BFB-A8DB-AC9D1ACFE3A9}"/>
    <cellStyle name="Normal 8 2 2 2 9" xfId="7336" xr:uid="{642FCA2A-261A-4757-A972-24542E237924}"/>
    <cellStyle name="Normal 8 2 2 3" xfId="488" xr:uid="{00000000-0005-0000-0000-000066030000}"/>
    <cellStyle name="Normal 8 2 2 3 10" xfId="2206" xr:uid="{FE5822D0-477F-4331-9897-B0F93EBA2DC3}"/>
    <cellStyle name="Normal 8 2 2 3 11" xfId="1377" xr:uid="{CE2C8418-D25C-4EA1-B15B-575F7D1AA675}"/>
    <cellStyle name="Normal 8 2 2 3 2" xfId="489" xr:uid="{00000000-0005-0000-0000-000067030000}"/>
    <cellStyle name="Normal 8 2 2 3 2 10" xfId="1378" xr:uid="{7669EDFE-4B94-4D9A-8ACE-A92E8D86DD7E}"/>
    <cellStyle name="Normal 8 2 2 3 2 2" xfId="961" xr:uid="{00000000-0005-0000-0000-000068030000}"/>
    <cellStyle name="Normal 8 2 2 3 2 2 2" xfId="5681" xr:uid="{78EF72CC-60F9-48A3-943E-D40FBCDE56BC}"/>
    <cellStyle name="Normal 8 2 2 3 2 2 2 2" xfId="9899" xr:uid="{116B8B87-71D1-43A9-9E55-E7A53D03610D}"/>
    <cellStyle name="Normal 8 2 2 3 2 2 3" xfId="7754" xr:uid="{A7E3666A-3D2C-40D7-85BB-0D5BF4F1A296}"/>
    <cellStyle name="Normal 8 2 2 3 2 2 4" xfId="3452" xr:uid="{859BF3FB-EADE-45F2-B501-04EC2AA17935}"/>
    <cellStyle name="Normal 8 2 2 3 2 2 5" xfId="2623" xr:uid="{647B398F-B46C-4F77-91B7-174717177040}"/>
    <cellStyle name="Normal 8 2 2 3 2 2 6" xfId="1794" xr:uid="{3D60686F-7813-48DD-B917-0E6F0EB07BB2}"/>
    <cellStyle name="Normal 8 2 2 3 2 3" xfId="3865" xr:uid="{DDED4999-5549-443E-BAC3-F88B69765F68}"/>
    <cellStyle name="Normal 8 2 2 3 2 3 2" xfId="6094" xr:uid="{47E3CBA5-1D11-498D-9745-D2307D68E62A}"/>
    <cellStyle name="Normal 8 2 2 3 2 3 2 2" xfId="10312" xr:uid="{D9827461-6B9B-4D2A-803B-EC49DB401F83}"/>
    <cellStyle name="Normal 8 2 2 3 2 3 3" xfId="8167" xr:uid="{B311EB5D-7869-46F3-86CC-ED37860BD9EC}"/>
    <cellStyle name="Normal 8 2 2 3 2 4" xfId="4278" xr:uid="{699E7702-147D-407A-9A01-14733028B1C8}"/>
    <cellStyle name="Normal 8 2 2 3 2 4 2" xfId="6507" xr:uid="{94F538F4-F35F-4F7D-A788-F5A3297BD26D}"/>
    <cellStyle name="Normal 8 2 2 3 2 4 2 2" xfId="10725" xr:uid="{FB4286FA-14E6-4C6D-B50E-FAE6BE411FD6}"/>
    <cellStyle name="Normal 8 2 2 3 2 4 3" xfId="8580" xr:uid="{204690DD-A86E-4D9E-ABA8-85626BC70FBA}"/>
    <cellStyle name="Normal 8 2 2 3 2 5" xfId="4691" xr:uid="{EB73AC36-E542-4E92-A2E5-852E7C2CBB1A}"/>
    <cellStyle name="Normal 8 2 2 3 2 5 2" xfId="6920" xr:uid="{3210AAFF-7286-498D-A5D2-2B75CB6DBFD2}"/>
    <cellStyle name="Normal 8 2 2 3 2 5 2 2" xfId="11138" xr:uid="{733A216E-46C5-416A-8D5A-5772A8D8A137}"/>
    <cellStyle name="Normal 8 2 2 3 2 5 3" xfId="8993" xr:uid="{00B0C091-486D-45FF-89E2-D903D1226C0A}"/>
    <cellStyle name="Normal 8 2 2 3 2 6" xfId="5127" xr:uid="{3E93ACFA-2EEE-4376-8CC5-1F090774BED8}"/>
    <cellStyle name="Normal 8 2 2 3 2 6 2" xfId="9406" xr:uid="{BC42F36E-23D1-4757-A6E4-305A4ADF6113}"/>
    <cellStyle name="Normal 8 2 2 3 2 7" xfId="7341" xr:uid="{8120ECF9-21CE-42D4-AB11-08E19524799C}"/>
    <cellStyle name="Normal 8 2 2 3 2 8" xfId="3037" xr:uid="{4AD692A4-8DDC-44DF-9D78-537DFA1D550E}"/>
    <cellStyle name="Normal 8 2 2 3 2 9" xfId="2207" xr:uid="{CBBDA276-3CEE-4D45-B89E-3C75D3DF6444}"/>
    <cellStyle name="Normal 8 2 2 3 3" xfId="960" xr:uid="{00000000-0005-0000-0000-000069030000}"/>
    <cellStyle name="Normal 8 2 2 3 3 2" xfId="5680" xr:uid="{4AD17438-9DFC-4673-91F1-CC0D7E0581A2}"/>
    <cellStyle name="Normal 8 2 2 3 3 2 2" xfId="9898" xr:uid="{A8EF0922-0C8C-455D-9A10-4D0249FBCFC9}"/>
    <cellStyle name="Normal 8 2 2 3 3 3" xfId="7753" xr:uid="{5AE58D3F-48BC-4C64-AAE3-6044D291E14E}"/>
    <cellStyle name="Normal 8 2 2 3 3 4" xfId="3451" xr:uid="{C719403F-BC74-4FF5-BC42-4AAD4D9D66DD}"/>
    <cellStyle name="Normal 8 2 2 3 3 5" xfId="2622" xr:uid="{7D69E366-289B-4E23-AF37-EB940D2F46FA}"/>
    <cellStyle name="Normal 8 2 2 3 3 6" xfId="1793" xr:uid="{F760CD9E-AE9B-401C-9079-F1E76DC3A210}"/>
    <cellStyle name="Normal 8 2 2 3 4" xfId="3864" xr:uid="{D9853032-9B9B-458E-851D-D07D85B01705}"/>
    <cellStyle name="Normal 8 2 2 3 4 2" xfId="6093" xr:uid="{B6F304DC-58F3-448D-8812-F68397E48853}"/>
    <cellStyle name="Normal 8 2 2 3 4 2 2" xfId="10311" xr:uid="{2E1ED3B5-3D71-4A70-949B-67155CBE0D10}"/>
    <cellStyle name="Normal 8 2 2 3 4 3" xfId="8166" xr:uid="{66D91172-64B7-41A4-9EF3-9744099F24A6}"/>
    <cellStyle name="Normal 8 2 2 3 5" xfId="4277" xr:uid="{CAF48BA0-2EDB-408F-AEB3-7E3392D2F459}"/>
    <cellStyle name="Normal 8 2 2 3 5 2" xfId="6506" xr:uid="{DDAF0216-E08C-4438-901D-544E9F485EDA}"/>
    <cellStyle name="Normal 8 2 2 3 5 2 2" xfId="10724" xr:uid="{6D4F6C2F-A078-4ECA-A14D-5CBDCD875EAE}"/>
    <cellStyle name="Normal 8 2 2 3 5 3" xfId="8579" xr:uid="{DCFA7D4E-A63D-4AB6-A334-CE4FE5DA3D23}"/>
    <cellStyle name="Normal 8 2 2 3 6" xfId="4690" xr:uid="{9D99AC9D-F934-4FE7-9964-87A8189187DE}"/>
    <cellStyle name="Normal 8 2 2 3 6 2" xfId="6919" xr:uid="{7DAD507E-8207-4F22-AFA1-2D3102B19D2E}"/>
    <cellStyle name="Normal 8 2 2 3 6 2 2" xfId="11137" xr:uid="{2E4A9CEC-D965-4803-9F15-65C718859170}"/>
    <cellStyle name="Normal 8 2 2 3 6 3" xfId="8992" xr:uid="{563DB57F-6754-48FD-A36A-3C3DC31DD299}"/>
    <cellStyle name="Normal 8 2 2 3 7" xfId="5126" xr:uid="{4DFCDE0E-1EA6-43A0-A145-35417C0AD78A}"/>
    <cellStyle name="Normal 8 2 2 3 7 2" xfId="9405" xr:uid="{72A26AF8-95D3-424B-99D4-5968108CFC2D}"/>
    <cellStyle name="Normal 8 2 2 3 8" xfId="7340" xr:uid="{553008E9-E317-40BD-9E1D-99427A8C51CA}"/>
    <cellStyle name="Normal 8 2 2 3 9" xfId="3036" xr:uid="{3330FD09-2F32-415F-8442-E3B5CB98DF8E}"/>
    <cellStyle name="Normal 8 2 2 4" xfId="490" xr:uid="{00000000-0005-0000-0000-00006A030000}"/>
    <cellStyle name="Normal 8 2 2 4 10" xfId="1379" xr:uid="{3AE018EC-3909-4659-9854-BD947389F0C1}"/>
    <cellStyle name="Normal 8 2 2 4 2" xfId="962" xr:uid="{00000000-0005-0000-0000-00006B030000}"/>
    <cellStyle name="Normal 8 2 2 4 2 2" xfId="5682" xr:uid="{9A1F684C-2C86-4914-A058-5B61F9131AD4}"/>
    <cellStyle name="Normal 8 2 2 4 2 2 2" xfId="9900" xr:uid="{C9CC23B8-6791-4A74-B5E0-519EC2DA5836}"/>
    <cellStyle name="Normal 8 2 2 4 2 3" xfId="7755" xr:uid="{55F1AB3C-8741-4AE9-A9E1-42288F7CB24C}"/>
    <cellStyle name="Normal 8 2 2 4 2 4" xfId="3453" xr:uid="{14E57B20-D923-4735-8378-1AF47A5CD730}"/>
    <cellStyle name="Normal 8 2 2 4 2 5" xfId="2624" xr:uid="{5C3157D5-AA4D-4C71-9ADB-D4514EE6291F}"/>
    <cellStyle name="Normal 8 2 2 4 2 6" xfId="1795" xr:uid="{3A066C72-9D16-48CC-AEE6-989E83D42D44}"/>
    <cellStyle name="Normal 8 2 2 4 3" xfId="3866" xr:uid="{2A69B2BE-8762-4AE4-9B23-068E50ECF88D}"/>
    <cellStyle name="Normal 8 2 2 4 3 2" xfId="6095" xr:uid="{B8C273D5-9A72-4E71-8B8C-688BE76C9738}"/>
    <cellStyle name="Normal 8 2 2 4 3 2 2" xfId="10313" xr:uid="{56883ECB-0EBF-47D6-BBDB-CF747EBF80C8}"/>
    <cellStyle name="Normal 8 2 2 4 3 3" xfId="8168" xr:uid="{EB9F808E-9208-410B-AFF4-AFF195A0D173}"/>
    <cellStyle name="Normal 8 2 2 4 4" xfId="4279" xr:uid="{9FB97708-79B6-4C3B-ACFD-00BFAA49B9BE}"/>
    <cellStyle name="Normal 8 2 2 4 4 2" xfId="6508" xr:uid="{0FEB250D-D66D-4513-9C1D-48B0139B823B}"/>
    <cellStyle name="Normal 8 2 2 4 4 2 2" xfId="10726" xr:uid="{6FB2E3EC-3C11-4FF6-825C-22EB0F9F748F}"/>
    <cellStyle name="Normal 8 2 2 4 4 3" xfId="8581" xr:uid="{C849360C-3DF0-4FEA-A149-6C1EF97E9747}"/>
    <cellStyle name="Normal 8 2 2 4 5" xfId="4692" xr:uid="{A2081C65-1D70-45FE-963D-B323E383111E}"/>
    <cellStyle name="Normal 8 2 2 4 5 2" xfId="6921" xr:uid="{6C8506D1-E704-41AE-903A-EDD0CE36B7AA}"/>
    <cellStyle name="Normal 8 2 2 4 5 2 2" xfId="11139" xr:uid="{23275E8C-7CB8-4E08-953A-DED3B2A46A73}"/>
    <cellStyle name="Normal 8 2 2 4 5 3" xfId="8994" xr:uid="{D68BC5C0-3D23-4720-8259-B3A0990D2D61}"/>
    <cellStyle name="Normal 8 2 2 4 6" xfId="5128" xr:uid="{8418A36F-9D73-4188-A794-DF5402CD2E4B}"/>
    <cellStyle name="Normal 8 2 2 4 6 2" xfId="9407" xr:uid="{68723CD8-CE74-4B68-9A7E-FD5EBC21DC27}"/>
    <cellStyle name="Normal 8 2 2 4 7" xfId="7342" xr:uid="{833576F5-970F-40C5-8FA1-5FB974572210}"/>
    <cellStyle name="Normal 8 2 2 4 8" xfId="3038" xr:uid="{0B28B180-C887-4498-8F24-F4CA80D046B9}"/>
    <cellStyle name="Normal 8 2 2 4 9" xfId="2208" xr:uid="{E18B6CC1-A89C-41A6-B935-81E630523D0D}"/>
    <cellStyle name="Normal 8 2 2 5" xfId="955" xr:uid="{00000000-0005-0000-0000-00006C030000}"/>
    <cellStyle name="Normal 8 2 2 5 2" xfId="5675" xr:uid="{55634236-35CD-4E87-B837-6225D3527650}"/>
    <cellStyle name="Normal 8 2 2 5 2 2" xfId="9893" xr:uid="{F769D1B8-0D34-456D-9024-82839A6E43F1}"/>
    <cellStyle name="Normal 8 2 2 5 3" xfId="7748" xr:uid="{E473F692-7229-4040-8E56-9A0A2706E6D9}"/>
    <cellStyle name="Normal 8 2 2 5 4" xfId="3446" xr:uid="{E6316C2A-A0F1-49E8-8A12-1A7F6A0E3875}"/>
    <cellStyle name="Normal 8 2 2 5 5" xfId="2617" xr:uid="{102CAE72-8AF8-45F5-BD93-E0DF88431CF1}"/>
    <cellStyle name="Normal 8 2 2 5 6" xfId="1788" xr:uid="{182DB36E-F6EC-4C2D-AF3A-1FCB72FEFAE6}"/>
    <cellStyle name="Normal 8 2 2 6" xfId="3859" xr:uid="{88A66091-1163-4FF0-ADA3-802CCC55AFBC}"/>
    <cellStyle name="Normal 8 2 2 6 2" xfId="6088" xr:uid="{FAC86509-2BAA-4FA2-A2D9-CBE512856ED6}"/>
    <cellStyle name="Normal 8 2 2 6 2 2" xfId="10306" xr:uid="{56346992-CF2D-4C70-A332-402241405675}"/>
    <cellStyle name="Normal 8 2 2 6 3" xfId="8161" xr:uid="{872505DC-5BD5-44B3-87E7-5CB47F71F5F7}"/>
    <cellStyle name="Normal 8 2 2 7" xfId="4272" xr:uid="{AC75CF98-D880-4997-87A3-2978EA11F524}"/>
    <cellStyle name="Normal 8 2 2 7 2" xfId="6501" xr:uid="{C9FF4219-96F9-4491-8928-753026CD59A1}"/>
    <cellStyle name="Normal 8 2 2 7 2 2" xfId="10719" xr:uid="{4DECA8F5-6826-4DC7-856D-8F18286EFA05}"/>
    <cellStyle name="Normal 8 2 2 7 3" xfId="8574" xr:uid="{83F1DD09-A809-4F42-A584-8EDF15A7D743}"/>
    <cellStyle name="Normal 8 2 2 8" xfId="4685" xr:uid="{EE2476AF-B81C-4FFA-98AF-0B71AD7097F9}"/>
    <cellStyle name="Normal 8 2 2 8 2" xfId="6914" xr:uid="{4DAEB366-235C-48BD-AB80-A92D35D20977}"/>
    <cellStyle name="Normal 8 2 2 8 2 2" xfId="11132" xr:uid="{34E7DDB6-F84F-403A-AD4E-1C6A8264EA7E}"/>
    <cellStyle name="Normal 8 2 2 8 3" xfId="8987" xr:uid="{E7092FDB-9BFF-4AE8-A936-2DFF141D9B78}"/>
    <cellStyle name="Normal 8 2 2 9" xfId="5121" xr:uid="{148FF1FD-B69C-45FC-8854-A7A523DA613B}"/>
    <cellStyle name="Normal 8 2 2 9 2" xfId="9400" xr:uid="{EE0B3006-19DB-43A5-9799-0C380CE70923}"/>
    <cellStyle name="Normal 8 2 3" xfId="491" xr:uid="{00000000-0005-0000-0000-00006D030000}"/>
    <cellStyle name="Normal 8 2 3 10" xfId="3039" xr:uid="{2E9A50A6-E9A5-46BD-9EE0-4793D959EAD9}"/>
    <cellStyle name="Normal 8 2 3 11" xfId="2209" xr:uid="{F49F04B3-0FA0-4FE4-A242-362B748F1229}"/>
    <cellStyle name="Normal 8 2 3 12" xfId="1380" xr:uid="{373D8472-3559-4E2F-8B70-550827DBE0DE}"/>
    <cellStyle name="Normal 8 2 3 2" xfId="492" xr:uid="{00000000-0005-0000-0000-00006E030000}"/>
    <cellStyle name="Normal 8 2 3 2 10" xfId="2210" xr:uid="{F5ADBD2B-F305-4968-B292-CB55E311E72A}"/>
    <cellStyle name="Normal 8 2 3 2 11" xfId="1381" xr:uid="{1AAF9386-117B-4016-803F-CDA15F093F24}"/>
    <cellStyle name="Normal 8 2 3 2 2" xfId="493" xr:uid="{00000000-0005-0000-0000-00006F030000}"/>
    <cellStyle name="Normal 8 2 3 2 2 10" xfId="1382" xr:uid="{5403EA49-3504-4EA9-967D-021E055E43BA}"/>
    <cellStyle name="Normal 8 2 3 2 2 2" xfId="965" xr:uid="{00000000-0005-0000-0000-000070030000}"/>
    <cellStyle name="Normal 8 2 3 2 2 2 2" xfId="5685" xr:uid="{03A5D6D5-53B0-4F73-8124-16B0875C8D3F}"/>
    <cellStyle name="Normal 8 2 3 2 2 2 2 2" xfId="9903" xr:uid="{C557518A-C7F3-49FC-8ECF-A4908F3C97F4}"/>
    <cellStyle name="Normal 8 2 3 2 2 2 3" xfId="7758" xr:uid="{D147A1B7-DD4A-4CD0-9F51-4E9034DC72B0}"/>
    <cellStyle name="Normal 8 2 3 2 2 2 4" xfId="3456" xr:uid="{BD35F6C4-0F2C-453E-9B31-29D3419D50E4}"/>
    <cellStyle name="Normal 8 2 3 2 2 2 5" xfId="2627" xr:uid="{D9E5A2E5-1168-47E3-B895-1FD7DF22F720}"/>
    <cellStyle name="Normal 8 2 3 2 2 2 6" xfId="1798" xr:uid="{9A0160EF-06B1-4D96-8068-478342EFD7F4}"/>
    <cellStyle name="Normal 8 2 3 2 2 3" xfId="3869" xr:uid="{BB3B129C-2789-478C-8A01-4696B773140D}"/>
    <cellStyle name="Normal 8 2 3 2 2 3 2" xfId="6098" xr:uid="{C880839C-D252-4E37-AF4E-EEA1147157F5}"/>
    <cellStyle name="Normal 8 2 3 2 2 3 2 2" xfId="10316" xr:uid="{120660FE-B3F9-4CD0-B968-20FE377DE6FC}"/>
    <cellStyle name="Normal 8 2 3 2 2 3 3" xfId="8171" xr:uid="{458269A9-33B7-4809-B003-D658B717EF5B}"/>
    <cellStyle name="Normal 8 2 3 2 2 4" xfId="4282" xr:uid="{4FCAE28D-2537-4D09-A4F0-E10D659791DD}"/>
    <cellStyle name="Normal 8 2 3 2 2 4 2" xfId="6511" xr:uid="{FD3FF823-AFDB-4B6B-AF41-9CE58E558A35}"/>
    <cellStyle name="Normal 8 2 3 2 2 4 2 2" xfId="10729" xr:uid="{C1CA7307-9C95-4188-A1E2-738C3AE86C09}"/>
    <cellStyle name="Normal 8 2 3 2 2 4 3" xfId="8584" xr:uid="{C6250682-34D9-46CB-8F49-1D7473388B52}"/>
    <cellStyle name="Normal 8 2 3 2 2 5" xfId="4695" xr:uid="{2670B51B-DBA4-406B-B23E-8BF24E1BAF2C}"/>
    <cellStyle name="Normal 8 2 3 2 2 5 2" xfId="6924" xr:uid="{10BE5E7E-0C02-4A84-B55B-37DAA193E6E0}"/>
    <cellStyle name="Normal 8 2 3 2 2 5 2 2" xfId="11142" xr:uid="{4CE4D9B7-7A7C-47B4-B718-B994E41E4C51}"/>
    <cellStyle name="Normal 8 2 3 2 2 5 3" xfId="8997" xr:uid="{BC826C52-4A5F-4E5A-A3F2-4D07004070A4}"/>
    <cellStyle name="Normal 8 2 3 2 2 6" xfId="5131" xr:uid="{E47A5BC3-1144-4E06-8140-FB609C4A21C5}"/>
    <cellStyle name="Normal 8 2 3 2 2 6 2" xfId="9410" xr:uid="{DF7300CB-EC75-45A2-B259-D6493ADA85A1}"/>
    <cellStyle name="Normal 8 2 3 2 2 7" xfId="7345" xr:uid="{93965862-62B3-4606-B476-75E891E8281B}"/>
    <cellStyle name="Normal 8 2 3 2 2 8" xfId="3041" xr:uid="{3B7D2BCB-2180-42F6-AF1A-38EBCEF998FE}"/>
    <cellStyle name="Normal 8 2 3 2 2 9" xfId="2211" xr:uid="{E2F50B7D-1B5A-4EB8-B179-7BF44D145407}"/>
    <cellStyle name="Normal 8 2 3 2 3" xfId="964" xr:uid="{00000000-0005-0000-0000-000071030000}"/>
    <cellStyle name="Normal 8 2 3 2 3 2" xfId="5684" xr:uid="{D69636DF-59CA-45EB-B1CF-FA398287F768}"/>
    <cellStyle name="Normal 8 2 3 2 3 2 2" xfId="9902" xr:uid="{61FF1513-3F92-4A85-91C1-0C93DB16D82D}"/>
    <cellStyle name="Normal 8 2 3 2 3 3" xfId="7757" xr:uid="{EA8C6A5D-6994-41F6-B882-D3F13EED4663}"/>
    <cellStyle name="Normal 8 2 3 2 3 4" xfId="3455" xr:uid="{2EF4F28C-AFC4-469D-9E26-D7326BD8F45A}"/>
    <cellStyle name="Normal 8 2 3 2 3 5" xfId="2626" xr:uid="{D04D8263-3A44-447D-8E59-3D90D830C4BB}"/>
    <cellStyle name="Normal 8 2 3 2 3 6" xfId="1797" xr:uid="{F588EE4A-4C5D-4240-8D30-C9B383E4F758}"/>
    <cellStyle name="Normal 8 2 3 2 4" xfId="3868" xr:uid="{8B24F9CE-CB43-40DC-BE87-0B6F502D23D1}"/>
    <cellStyle name="Normal 8 2 3 2 4 2" xfId="6097" xr:uid="{873F3E88-B0A3-4F78-A77F-901E4CC3E803}"/>
    <cellStyle name="Normal 8 2 3 2 4 2 2" xfId="10315" xr:uid="{00CA17A2-DAE5-46E5-8197-24534D34317D}"/>
    <cellStyle name="Normal 8 2 3 2 4 3" xfId="8170" xr:uid="{7BCC00EC-713F-40F4-98DD-02F7E4CD4400}"/>
    <cellStyle name="Normal 8 2 3 2 5" xfId="4281" xr:uid="{9CD2A0E6-1924-4B24-9EB1-D454E3DDDD8F}"/>
    <cellStyle name="Normal 8 2 3 2 5 2" xfId="6510" xr:uid="{FDFAB727-742F-47BE-A368-61F2F0083BF4}"/>
    <cellStyle name="Normal 8 2 3 2 5 2 2" xfId="10728" xr:uid="{45DBA2E9-FEDF-4AE9-8C31-15FA8D3FABE0}"/>
    <cellStyle name="Normal 8 2 3 2 5 3" xfId="8583" xr:uid="{61894DEB-EF82-4A64-8D22-8CD41432AC07}"/>
    <cellStyle name="Normal 8 2 3 2 6" xfId="4694" xr:uid="{7B6CA68A-1713-40CB-9F26-229E1D6218BA}"/>
    <cellStyle name="Normal 8 2 3 2 6 2" xfId="6923" xr:uid="{C42A8B81-AEF5-4352-B310-124E15FE0A9F}"/>
    <cellStyle name="Normal 8 2 3 2 6 2 2" xfId="11141" xr:uid="{24D68EED-097F-4289-A9A9-47334D89CDCE}"/>
    <cellStyle name="Normal 8 2 3 2 6 3" xfId="8996" xr:uid="{13427502-E60B-4D65-ACB9-96838C1101E7}"/>
    <cellStyle name="Normal 8 2 3 2 7" xfId="5130" xr:uid="{D0F314BB-E1DB-4A05-BD24-C190C54E2591}"/>
    <cellStyle name="Normal 8 2 3 2 7 2" xfId="9409" xr:uid="{0E691706-F1DC-48CC-8D9E-B9926A80D3C0}"/>
    <cellStyle name="Normal 8 2 3 2 8" xfId="7344" xr:uid="{0FBC77F2-90BF-4F4F-9475-FEB806370904}"/>
    <cellStyle name="Normal 8 2 3 2 9" xfId="3040" xr:uid="{2538D53F-1395-4546-828A-790881FD8001}"/>
    <cellStyle name="Normal 8 2 3 3" xfId="494" xr:uid="{00000000-0005-0000-0000-000072030000}"/>
    <cellStyle name="Normal 8 2 3 3 10" xfId="1383" xr:uid="{38F9BBAF-9231-49A8-9849-824943BDEC8F}"/>
    <cellStyle name="Normal 8 2 3 3 2" xfId="966" xr:uid="{00000000-0005-0000-0000-000073030000}"/>
    <cellStyle name="Normal 8 2 3 3 2 2" xfId="5686" xr:uid="{C44DF08C-E717-43F7-A33A-E172894ACDD4}"/>
    <cellStyle name="Normal 8 2 3 3 2 2 2" xfId="9904" xr:uid="{4EA81CFF-6825-4AAD-8BE2-03196FAA8085}"/>
    <cellStyle name="Normal 8 2 3 3 2 3" xfId="7759" xr:uid="{AA38E8F0-3C8B-489D-9B83-E570FF8066B9}"/>
    <cellStyle name="Normal 8 2 3 3 2 4" xfId="3457" xr:uid="{46D3D81A-54BB-4A38-9B59-BA86F22D3D75}"/>
    <cellStyle name="Normal 8 2 3 3 2 5" xfId="2628" xr:uid="{79ABDA02-18B7-4DA9-BC4F-514104E293E2}"/>
    <cellStyle name="Normal 8 2 3 3 2 6" xfId="1799" xr:uid="{01BE88C7-A157-4C24-97A0-7D6E93F527BC}"/>
    <cellStyle name="Normal 8 2 3 3 3" xfId="3870" xr:uid="{AE521132-C3F2-4EE8-88BA-EEA278208E98}"/>
    <cellStyle name="Normal 8 2 3 3 3 2" xfId="6099" xr:uid="{022D56CE-D5FA-432C-90AD-F76311A36249}"/>
    <cellStyle name="Normal 8 2 3 3 3 2 2" xfId="10317" xr:uid="{EBA1DD05-C917-44A6-AC5A-2DA5DD328164}"/>
    <cellStyle name="Normal 8 2 3 3 3 3" xfId="8172" xr:uid="{060D8B7F-8710-432C-BE53-D8A266B83C6A}"/>
    <cellStyle name="Normal 8 2 3 3 4" xfId="4283" xr:uid="{3BFE0874-CA8A-4ADF-B903-7702EA22487F}"/>
    <cellStyle name="Normal 8 2 3 3 4 2" xfId="6512" xr:uid="{DBDF740E-81E3-450D-977F-8791EC7788EE}"/>
    <cellStyle name="Normal 8 2 3 3 4 2 2" xfId="10730" xr:uid="{F1E24A09-AED1-4CE4-A3DD-F882D7DFCDCB}"/>
    <cellStyle name="Normal 8 2 3 3 4 3" xfId="8585" xr:uid="{BF6C9D7A-27B9-418D-9A03-918F534E35AA}"/>
    <cellStyle name="Normal 8 2 3 3 5" xfId="4696" xr:uid="{6680AA0E-F014-4BA2-B4C2-BD15F1A3EC87}"/>
    <cellStyle name="Normal 8 2 3 3 5 2" xfId="6925" xr:uid="{DC913BCB-83C3-4776-B81C-08F3BEF768E5}"/>
    <cellStyle name="Normal 8 2 3 3 5 2 2" xfId="11143" xr:uid="{B209D148-7582-4B27-A556-636E855DB96B}"/>
    <cellStyle name="Normal 8 2 3 3 5 3" xfId="8998" xr:uid="{262695CB-F271-48FD-A92A-609A1A79C702}"/>
    <cellStyle name="Normal 8 2 3 3 6" xfId="5132" xr:uid="{2E873EDB-DB28-408D-931B-9A040E18FB8B}"/>
    <cellStyle name="Normal 8 2 3 3 6 2" xfId="9411" xr:uid="{BA9A78B1-FF2A-48DE-8FA2-592BAD7A494C}"/>
    <cellStyle name="Normal 8 2 3 3 7" xfId="7346" xr:uid="{304C660D-D2E6-4CC8-97E6-7E28FA3FB151}"/>
    <cellStyle name="Normal 8 2 3 3 8" xfId="3042" xr:uid="{10D675AE-7FC0-4588-815D-83601D82B06D}"/>
    <cellStyle name="Normal 8 2 3 3 9" xfId="2212" xr:uid="{441F7F88-D944-4C46-9345-E2D30130BB3C}"/>
    <cellStyle name="Normal 8 2 3 4" xfId="963" xr:uid="{00000000-0005-0000-0000-000074030000}"/>
    <cellStyle name="Normal 8 2 3 4 2" xfId="5683" xr:uid="{77145641-46AC-4EC9-9B3C-6F5112864577}"/>
    <cellStyle name="Normal 8 2 3 4 2 2" xfId="9901" xr:uid="{7ED2CAE2-FB72-4793-A529-08372293AD56}"/>
    <cellStyle name="Normal 8 2 3 4 3" xfId="7756" xr:uid="{FD3F886A-F537-441D-AF67-B49048D431AA}"/>
    <cellStyle name="Normal 8 2 3 4 4" xfId="3454" xr:uid="{CDBF4702-D3F0-42FC-A8B8-437D37239D42}"/>
    <cellStyle name="Normal 8 2 3 4 5" xfId="2625" xr:uid="{4248098E-9A84-448D-AA9B-6EB68A7D4F7A}"/>
    <cellStyle name="Normal 8 2 3 4 6" xfId="1796" xr:uid="{8305ADA7-C263-4F7C-8EE5-16F9F396F6D0}"/>
    <cellStyle name="Normal 8 2 3 5" xfId="3867" xr:uid="{8439365C-7932-4AFF-9A1D-C5A26DE20082}"/>
    <cellStyle name="Normal 8 2 3 5 2" xfId="6096" xr:uid="{3AC06E70-70E5-4670-B4A8-E7CDDD2E84AF}"/>
    <cellStyle name="Normal 8 2 3 5 2 2" xfId="10314" xr:uid="{1C38ADB5-79F5-476A-B2C4-3E2E30B29905}"/>
    <cellStyle name="Normal 8 2 3 5 3" xfId="8169" xr:uid="{D804B0B3-E82B-436C-9289-124A9A86FDC7}"/>
    <cellStyle name="Normal 8 2 3 6" xfId="4280" xr:uid="{AE1FC2B4-6FE0-4B3F-BEA9-05C30170013F}"/>
    <cellStyle name="Normal 8 2 3 6 2" xfId="6509" xr:uid="{657D696D-5243-4F76-BD34-824B70596A10}"/>
    <cellStyle name="Normal 8 2 3 6 2 2" xfId="10727" xr:uid="{EAA8EF56-9300-4886-8859-3D88EF07146B}"/>
    <cellStyle name="Normal 8 2 3 6 3" xfId="8582" xr:uid="{FBDFB624-076D-45A9-919F-8798C98FEC01}"/>
    <cellStyle name="Normal 8 2 3 7" xfId="4693" xr:uid="{D6496B63-02C4-4F38-9C63-EFEA6E30BC06}"/>
    <cellStyle name="Normal 8 2 3 7 2" xfId="6922" xr:uid="{BB23A8CA-126D-42C3-B9CB-0E419670A78A}"/>
    <cellStyle name="Normal 8 2 3 7 2 2" xfId="11140" xr:uid="{34141228-F35A-4850-9F59-314B414BCF6B}"/>
    <cellStyle name="Normal 8 2 3 7 3" xfId="8995" xr:uid="{5AF05277-750D-4DF1-A04E-CFB1CA27E826}"/>
    <cellStyle name="Normal 8 2 3 8" xfId="5129" xr:uid="{968DDB5E-A648-490A-BB7B-E7328BD1798C}"/>
    <cellStyle name="Normal 8 2 3 8 2" xfId="9408" xr:uid="{833F4E70-C129-4154-840B-7E7C45D26CD0}"/>
    <cellStyle name="Normal 8 2 3 9" xfId="7343" xr:uid="{BB60943D-CD9C-4178-A7EC-5938B4D160B2}"/>
    <cellStyle name="Normal 8 2 4" xfId="495" xr:uid="{00000000-0005-0000-0000-000075030000}"/>
    <cellStyle name="Normal 8 2 4 10" xfId="2213" xr:uid="{8AE861E8-755B-4CC3-8D12-9FE3D5B8044F}"/>
    <cellStyle name="Normal 8 2 4 11" xfId="1384" xr:uid="{90DB031D-82C4-4CEC-BAFC-4FC3884BE1AF}"/>
    <cellStyle name="Normal 8 2 4 2" xfId="496" xr:uid="{00000000-0005-0000-0000-000076030000}"/>
    <cellStyle name="Normal 8 2 4 2 10" xfId="1385" xr:uid="{73386A12-0E2A-4687-BC0C-A0F56706B379}"/>
    <cellStyle name="Normal 8 2 4 2 2" xfId="968" xr:uid="{00000000-0005-0000-0000-000077030000}"/>
    <cellStyle name="Normal 8 2 4 2 2 2" xfId="5688" xr:uid="{6C724EB1-DCE5-4A30-A49D-D3B27A5C493D}"/>
    <cellStyle name="Normal 8 2 4 2 2 2 2" xfId="9906" xr:uid="{F4FC2652-4E8A-4313-9FA5-A5806B7B2ABD}"/>
    <cellStyle name="Normal 8 2 4 2 2 3" xfId="7761" xr:uid="{739A7618-2901-4D11-8083-23154AA7A8CE}"/>
    <cellStyle name="Normal 8 2 4 2 2 4" xfId="3459" xr:uid="{57BB4B42-35E9-441C-952A-B9C97974A3C9}"/>
    <cellStyle name="Normal 8 2 4 2 2 5" xfId="2630" xr:uid="{BC430B11-41B1-4A9E-BDDC-DBE384A3A51F}"/>
    <cellStyle name="Normal 8 2 4 2 2 6" xfId="1801" xr:uid="{171FCB21-6643-4C24-85A4-3416DA7AC6DA}"/>
    <cellStyle name="Normal 8 2 4 2 3" xfId="3872" xr:uid="{E9C888C6-311A-4F69-A5A9-39461A757535}"/>
    <cellStyle name="Normal 8 2 4 2 3 2" xfId="6101" xr:uid="{0D0A503A-BFC6-45A0-BCDB-F8BB36097B6E}"/>
    <cellStyle name="Normal 8 2 4 2 3 2 2" xfId="10319" xr:uid="{7938CA6B-D122-4B99-B555-42FEA572193F}"/>
    <cellStyle name="Normal 8 2 4 2 3 3" xfId="8174" xr:uid="{BFF230F1-33E5-4FE4-BA93-50CAEE9BAAED}"/>
    <cellStyle name="Normal 8 2 4 2 4" xfId="4285" xr:uid="{8C6EBE59-22E7-4256-BF4A-1173AFF8EACA}"/>
    <cellStyle name="Normal 8 2 4 2 4 2" xfId="6514" xr:uid="{BDCD0EC3-42E0-4FCF-AD93-6E7647AFF20F}"/>
    <cellStyle name="Normal 8 2 4 2 4 2 2" xfId="10732" xr:uid="{A6BE101D-3242-475F-ACDD-68C526F6F77D}"/>
    <cellStyle name="Normal 8 2 4 2 4 3" xfId="8587" xr:uid="{F3BB8089-D5AD-4147-A339-4A8A454ACD00}"/>
    <cellStyle name="Normal 8 2 4 2 5" xfId="4698" xr:uid="{9DB36ADA-2922-47AF-BA58-F6877679F267}"/>
    <cellStyle name="Normal 8 2 4 2 5 2" xfId="6927" xr:uid="{CD884536-44FD-478C-9242-D17902BF596E}"/>
    <cellStyle name="Normal 8 2 4 2 5 2 2" xfId="11145" xr:uid="{E8FB15A9-2C94-41B0-A5B3-8D992B9F3D93}"/>
    <cellStyle name="Normal 8 2 4 2 5 3" xfId="9000" xr:uid="{C23A5C53-DFC1-4458-867C-46B0CA4557E7}"/>
    <cellStyle name="Normal 8 2 4 2 6" xfId="5134" xr:uid="{0D809066-DC23-4F89-B759-D83F7621B279}"/>
    <cellStyle name="Normal 8 2 4 2 6 2" xfId="9413" xr:uid="{93634642-A5FF-4C05-83B1-E367C6110F2D}"/>
    <cellStyle name="Normal 8 2 4 2 7" xfId="7348" xr:uid="{901DBD0A-8911-4BA5-BFED-5A9C9FAD2FB6}"/>
    <cellStyle name="Normal 8 2 4 2 8" xfId="3044" xr:uid="{E4F39F87-493C-4AD7-9D8F-20F3DE9F8604}"/>
    <cellStyle name="Normal 8 2 4 2 9" xfId="2214" xr:uid="{EB71C3E1-8DBB-47D2-A916-6D74E592B284}"/>
    <cellStyle name="Normal 8 2 4 3" xfId="967" xr:uid="{00000000-0005-0000-0000-000078030000}"/>
    <cellStyle name="Normal 8 2 4 3 2" xfId="5687" xr:uid="{ABA6753F-43E5-4BD5-8B49-DA456463CF37}"/>
    <cellStyle name="Normal 8 2 4 3 2 2" xfId="9905" xr:uid="{F1539618-9A1E-40A0-8160-B41317325CC3}"/>
    <cellStyle name="Normal 8 2 4 3 3" xfId="7760" xr:uid="{7E1681F1-60F2-49C8-847E-B26398CE3F21}"/>
    <cellStyle name="Normal 8 2 4 3 4" xfId="3458" xr:uid="{376DEBF5-B3FB-4B09-8DAF-CAD0129404B6}"/>
    <cellStyle name="Normal 8 2 4 3 5" xfId="2629" xr:uid="{295306C5-31F9-443E-831B-C8BE6DFB06D1}"/>
    <cellStyle name="Normal 8 2 4 3 6" xfId="1800" xr:uid="{5D42BE05-D5AF-485A-94D8-4D50130570EE}"/>
    <cellStyle name="Normal 8 2 4 4" xfId="3871" xr:uid="{B9A136CD-2833-491E-9E7C-DC3373460B7A}"/>
    <cellStyle name="Normal 8 2 4 4 2" xfId="6100" xr:uid="{4FE9EFFD-2B30-41BF-9517-A7EC37247267}"/>
    <cellStyle name="Normal 8 2 4 4 2 2" xfId="10318" xr:uid="{EE589211-00B2-44B3-8050-D46FE9D7F361}"/>
    <cellStyle name="Normal 8 2 4 4 3" xfId="8173" xr:uid="{1765D70C-31CD-46D6-B91A-DEAD972E9032}"/>
    <cellStyle name="Normal 8 2 4 5" xfId="4284" xr:uid="{8981D23D-28B7-40BC-B00D-9C03F75EFE4C}"/>
    <cellStyle name="Normal 8 2 4 5 2" xfId="6513" xr:uid="{258FF756-4BE5-4665-B771-9D353CF5F2F3}"/>
    <cellStyle name="Normal 8 2 4 5 2 2" xfId="10731" xr:uid="{01D8E1E9-0961-493A-B547-F542FFCD05D8}"/>
    <cellStyle name="Normal 8 2 4 5 3" xfId="8586" xr:uid="{B8814508-E9D8-4B0E-9721-5F86F8EF2C19}"/>
    <cellStyle name="Normal 8 2 4 6" xfId="4697" xr:uid="{2466A38E-227C-4DFA-9AEF-278B6DCCF209}"/>
    <cellStyle name="Normal 8 2 4 6 2" xfId="6926" xr:uid="{8D772625-F5CE-4C27-821A-58BC9D48CB64}"/>
    <cellStyle name="Normal 8 2 4 6 2 2" xfId="11144" xr:uid="{7F92AED5-CB25-4743-86FD-50AA63447181}"/>
    <cellStyle name="Normal 8 2 4 6 3" xfId="8999" xr:uid="{2F8BCB29-20AA-4C7F-B547-54B1C478FB41}"/>
    <cellStyle name="Normal 8 2 4 7" xfId="5133" xr:uid="{4153D000-3CB0-4DAA-8C8C-12BFC5661DDD}"/>
    <cellStyle name="Normal 8 2 4 7 2" xfId="9412" xr:uid="{00C88D1A-9EE4-467E-99B8-877B0294C214}"/>
    <cellStyle name="Normal 8 2 4 8" xfId="7347" xr:uid="{3EE28588-62CC-46FF-8316-4863BAB53D58}"/>
    <cellStyle name="Normal 8 2 4 9" xfId="3043" xr:uid="{9DF3180E-A58B-415D-BD68-D2F50CCE15F1}"/>
    <cellStyle name="Normal 8 2 5" xfId="497" xr:uid="{00000000-0005-0000-0000-000079030000}"/>
    <cellStyle name="Normal 8 2 5 10" xfId="1386" xr:uid="{B65485A7-E2F9-41FE-A271-5B168D6173FA}"/>
    <cellStyle name="Normal 8 2 5 2" xfId="969" xr:uid="{00000000-0005-0000-0000-00007A030000}"/>
    <cellStyle name="Normal 8 2 5 2 2" xfId="5689" xr:uid="{1EB380C2-4635-4154-8850-8F38631F6420}"/>
    <cellStyle name="Normal 8 2 5 2 2 2" xfId="9907" xr:uid="{4A755DFB-5839-4C0B-9D8B-DD734C667839}"/>
    <cellStyle name="Normal 8 2 5 2 3" xfId="7762" xr:uid="{49BE1E6F-9C05-4E6D-8190-B6EDA047045F}"/>
    <cellStyle name="Normal 8 2 5 2 4" xfId="3460" xr:uid="{8A6FD34B-92DB-4420-A5F6-7E196F7E875A}"/>
    <cellStyle name="Normal 8 2 5 2 5" xfId="2631" xr:uid="{2F81D3AA-FB90-4340-B582-128DD10ADEDF}"/>
    <cellStyle name="Normal 8 2 5 2 6" xfId="1802" xr:uid="{B8AF93CC-466A-4B20-B4DB-EC8B21A1EC81}"/>
    <cellStyle name="Normal 8 2 5 3" xfId="3873" xr:uid="{524C3E31-B7C3-4FB6-B2C3-6AD4075A5D56}"/>
    <cellStyle name="Normal 8 2 5 3 2" xfId="6102" xr:uid="{54F8E49A-B2BE-4BDD-8D24-71540DEC96CB}"/>
    <cellStyle name="Normal 8 2 5 3 2 2" xfId="10320" xr:uid="{F7DE1CAC-D79B-4670-B312-39528DFE4854}"/>
    <cellStyle name="Normal 8 2 5 3 3" xfId="8175" xr:uid="{835D9CDD-DD4B-4A41-A77D-B3F67117352D}"/>
    <cellStyle name="Normal 8 2 5 4" xfId="4286" xr:uid="{7167A6E4-61A0-40F3-AD08-D7DB35344D7C}"/>
    <cellStyle name="Normal 8 2 5 4 2" xfId="6515" xr:uid="{B85B18B8-5C54-4131-87BB-7E4D53728435}"/>
    <cellStyle name="Normal 8 2 5 4 2 2" xfId="10733" xr:uid="{5A9A1619-1565-47FE-94EB-05972C65513B}"/>
    <cellStyle name="Normal 8 2 5 4 3" xfId="8588" xr:uid="{57AF2CEF-08C5-4D00-A3B0-E12178E643DC}"/>
    <cellStyle name="Normal 8 2 5 5" xfId="4699" xr:uid="{25A5916A-C04D-4AE2-8AFA-84CED4F0F6DF}"/>
    <cellStyle name="Normal 8 2 5 5 2" xfId="6928" xr:uid="{94BD8056-2AFA-475C-A946-DDDDC3103ADC}"/>
    <cellStyle name="Normal 8 2 5 5 2 2" xfId="11146" xr:uid="{95F7F981-E54B-4483-9C75-3D6DA162076F}"/>
    <cellStyle name="Normal 8 2 5 5 3" xfId="9001" xr:uid="{F3262630-AAE0-4EC4-864C-28CF00A4F49B}"/>
    <cellStyle name="Normal 8 2 5 6" xfId="5135" xr:uid="{D29F8A3E-A3F7-45EF-99A0-F8E7C2D04875}"/>
    <cellStyle name="Normal 8 2 5 6 2" xfId="9414" xr:uid="{572AAD73-5267-4E6D-AC19-951C34CFED81}"/>
    <cellStyle name="Normal 8 2 5 7" xfId="7349" xr:uid="{8F9CC54F-D594-44C7-BDD2-F8D973962CEA}"/>
    <cellStyle name="Normal 8 2 5 8" xfId="3045" xr:uid="{AC6C2C54-0EF6-44F8-B7CE-F8ED5FD82DAE}"/>
    <cellStyle name="Normal 8 2 5 9" xfId="2215" xr:uid="{76CF0BCE-3A97-4E3B-8B36-A0A807674027}"/>
    <cellStyle name="Normal 8 2 6" xfId="954" xr:uid="{00000000-0005-0000-0000-00007B030000}"/>
    <cellStyle name="Normal 8 2 6 2" xfId="5674" xr:uid="{4BCFA80A-DE85-4FAB-B6B7-8B591BCCAD35}"/>
    <cellStyle name="Normal 8 2 6 2 2" xfId="9892" xr:uid="{BD9C4341-4C87-4F16-93B1-DFB777334A4F}"/>
    <cellStyle name="Normal 8 2 6 3" xfId="7747" xr:uid="{3BFEC26A-50C9-4561-A6AC-BC0E05F2B5DA}"/>
    <cellStyle name="Normal 8 2 6 4" xfId="3445" xr:uid="{E6CA1A17-4275-4A2A-B06D-36C1E2F958FD}"/>
    <cellStyle name="Normal 8 2 6 5" xfId="2616" xr:uid="{359822D9-0956-4E25-A954-6AC8D09147C8}"/>
    <cellStyle name="Normal 8 2 6 6" xfId="1787" xr:uid="{3F3086D0-1209-42FF-885D-4FD77D4264ED}"/>
    <cellStyle name="Normal 8 2 7" xfId="3858" xr:uid="{6DC779FE-9C3B-4493-8229-923578F538C6}"/>
    <cellStyle name="Normal 8 2 7 2" xfId="6087" xr:uid="{EC6F1150-85C2-46D9-BAF9-CAF4847EDE55}"/>
    <cellStyle name="Normal 8 2 7 2 2" xfId="10305" xr:uid="{6FBC3DCC-EFA3-465B-BDC6-1FF0E7568EDD}"/>
    <cellStyle name="Normal 8 2 7 3" xfId="8160" xr:uid="{6E3D2FAF-0371-434D-B8E7-6B014B9095D7}"/>
    <cellStyle name="Normal 8 2 8" xfId="4271" xr:uid="{350DB78F-3D06-44B1-A2C9-821BF9F6D21D}"/>
    <cellStyle name="Normal 8 2 8 2" xfId="6500" xr:uid="{54041228-6358-4AE2-B4D7-96F0AD52DEFA}"/>
    <cellStyle name="Normal 8 2 8 2 2" xfId="10718" xr:uid="{5CBAE712-E004-4BE4-AA76-9BF753A4B128}"/>
    <cellStyle name="Normal 8 2 8 3" xfId="8573" xr:uid="{39771E2C-977B-4157-87D9-E660C9A63378}"/>
    <cellStyle name="Normal 8 2 9" xfId="4684" xr:uid="{FF67FE3E-4B2E-4757-BD19-095B17B2ABEF}"/>
    <cellStyle name="Normal 8 2 9 2" xfId="6913" xr:uid="{A6F7FB66-B821-4F9F-9FAD-81476AF3D077}"/>
    <cellStyle name="Normal 8 2 9 2 2" xfId="11131" xr:uid="{EC31B51E-E15B-40D6-A671-C31D6322C5FC}"/>
    <cellStyle name="Normal 8 2 9 3" xfId="8986" xr:uid="{6F3E7D3A-7EA6-49DF-A73E-F85D58B1110A}"/>
    <cellStyle name="Normal 8 3" xfId="498" xr:uid="{00000000-0005-0000-0000-00007C030000}"/>
    <cellStyle name="Normal 8 3 10" xfId="7350" xr:uid="{4A87D066-4BCC-4AAE-934B-564B8AFAFAEB}"/>
    <cellStyle name="Normal 8 3 11" xfId="3046" xr:uid="{502F9C5B-4F32-4C6D-814A-B69919FE0866}"/>
    <cellStyle name="Normal 8 3 12" xfId="2216" xr:uid="{EBA4C6C9-4FE0-4830-9E22-CD79E1B1C32B}"/>
    <cellStyle name="Normal 8 3 13" xfId="1387" xr:uid="{9102A28D-8EE3-40B8-916E-F35A1556C49C}"/>
    <cellStyle name="Normal 8 3 2" xfId="499" xr:uid="{00000000-0005-0000-0000-00007D030000}"/>
    <cellStyle name="Normal 8 3 2 10" xfId="3047" xr:uid="{73CD4043-3B3D-45ED-8395-97E88BB06393}"/>
    <cellStyle name="Normal 8 3 2 11" xfId="2217" xr:uid="{CE6BD7B8-9D4B-43DB-9163-E2394454FDBD}"/>
    <cellStyle name="Normal 8 3 2 12" xfId="1388" xr:uid="{59A4DDC7-BE76-4467-A6BD-2F8B539F7E26}"/>
    <cellStyle name="Normal 8 3 2 2" xfId="500" xr:uid="{00000000-0005-0000-0000-00007E030000}"/>
    <cellStyle name="Normal 8 3 2 2 10" xfId="2218" xr:uid="{157EBB89-254B-4E88-B2AF-820A593B363F}"/>
    <cellStyle name="Normal 8 3 2 2 11" xfId="1389" xr:uid="{E2E343A4-A2F6-40CC-8080-870E395768F2}"/>
    <cellStyle name="Normal 8 3 2 2 2" xfId="501" xr:uid="{00000000-0005-0000-0000-00007F030000}"/>
    <cellStyle name="Normal 8 3 2 2 2 10" xfId="1390" xr:uid="{B1A2765F-F2A1-438C-B18C-3D5E1F71686E}"/>
    <cellStyle name="Normal 8 3 2 2 2 2" xfId="973" xr:uid="{00000000-0005-0000-0000-000080030000}"/>
    <cellStyle name="Normal 8 3 2 2 2 2 2" xfId="5693" xr:uid="{F0381779-D6FE-4C1C-813A-E2A5C19F6AD3}"/>
    <cellStyle name="Normal 8 3 2 2 2 2 2 2" xfId="9911" xr:uid="{D8A894A1-20A5-44AC-888B-E02E6BD57362}"/>
    <cellStyle name="Normal 8 3 2 2 2 2 3" xfId="7766" xr:uid="{221455D8-15F1-42C8-BB97-373286B281E3}"/>
    <cellStyle name="Normal 8 3 2 2 2 2 4" xfId="3464" xr:uid="{6E843A5C-4E64-4F7D-8997-C2D32BE1D315}"/>
    <cellStyle name="Normal 8 3 2 2 2 2 5" xfId="2635" xr:uid="{9FFE5E91-4DC4-41BE-B4B6-BF1A5A7ACEC1}"/>
    <cellStyle name="Normal 8 3 2 2 2 2 6" xfId="1806" xr:uid="{D7C02013-A0BF-43C5-AF05-9CDD3EF5131B}"/>
    <cellStyle name="Normal 8 3 2 2 2 3" xfId="3877" xr:uid="{0D926977-3720-4631-AB4B-292079FBDFB4}"/>
    <cellStyle name="Normal 8 3 2 2 2 3 2" xfId="6106" xr:uid="{7C498389-6FDD-433C-AD18-1FE64350B731}"/>
    <cellStyle name="Normal 8 3 2 2 2 3 2 2" xfId="10324" xr:uid="{28069811-4318-4F3D-88AD-98351BC389BF}"/>
    <cellStyle name="Normal 8 3 2 2 2 3 3" xfId="8179" xr:uid="{90F07696-EA72-467E-ACCD-C28F0A14E243}"/>
    <cellStyle name="Normal 8 3 2 2 2 4" xfId="4290" xr:uid="{5A823FE5-441C-4BD2-9A5C-7BBF7A9D2253}"/>
    <cellStyle name="Normal 8 3 2 2 2 4 2" xfId="6519" xr:uid="{3C6B6615-B0EF-4994-9979-909BA4581F6C}"/>
    <cellStyle name="Normal 8 3 2 2 2 4 2 2" xfId="10737" xr:uid="{30A60E65-1B7D-447D-8556-669CA30BD16C}"/>
    <cellStyle name="Normal 8 3 2 2 2 4 3" xfId="8592" xr:uid="{9A8DFD42-6159-434B-B910-9FAF4378A839}"/>
    <cellStyle name="Normal 8 3 2 2 2 5" xfId="4703" xr:uid="{EB6CA122-DB66-4763-B537-DF8066824A26}"/>
    <cellStyle name="Normal 8 3 2 2 2 5 2" xfId="6932" xr:uid="{10C1CCE1-1666-4573-8022-16C538C3930F}"/>
    <cellStyle name="Normal 8 3 2 2 2 5 2 2" xfId="11150" xr:uid="{DABD26FC-3E80-4954-B151-6B1FFA19261A}"/>
    <cellStyle name="Normal 8 3 2 2 2 5 3" xfId="9005" xr:uid="{E9D388FE-986F-4C20-81E0-7FE1F08305C2}"/>
    <cellStyle name="Normal 8 3 2 2 2 6" xfId="5139" xr:uid="{E6F56BB2-A76F-4265-8959-31A65E68CDED}"/>
    <cellStyle name="Normal 8 3 2 2 2 6 2" xfId="9418" xr:uid="{740B171B-2A37-4217-A6A8-62785EB807CD}"/>
    <cellStyle name="Normal 8 3 2 2 2 7" xfId="7353" xr:uid="{747E48C0-95C0-4866-9BA4-C9E0D43C7DD5}"/>
    <cellStyle name="Normal 8 3 2 2 2 8" xfId="3049" xr:uid="{7F89C542-1201-4145-95EE-2A6E6C6DFB9D}"/>
    <cellStyle name="Normal 8 3 2 2 2 9" xfId="2219" xr:uid="{336314C4-11AB-4416-8326-35A872CF82CD}"/>
    <cellStyle name="Normal 8 3 2 2 3" xfId="972" xr:uid="{00000000-0005-0000-0000-000081030000}"/>
    <cellStyle name="Normal 8 3 2 2 3 2" xfId="5692" xr:uid="{6CDA3FA8-CDB7-4684-9AC5-2695760C83CA}"/>
    <cellStyle name="Normal 8 3 2 2 3 2 2" xfId="9910" xr:uid="{3AD83E58-DFCE-4CD2-8611-F79F544E93ED}"/>
    <cellStyle name="Normal 8 3 2 2 3 3" xfId="7765" xr:uid="{A082BC7F-26CE-4709-8E2F-529E9BA7546B}"/>
    <cellStyle name="Normal 8 3 2 2 3 4" xfId="3463" xr:uid="{60119D5E-9966-4795-B8E2-B2DABDA4B069}"/>
    <cellStyle name="Normal 8 3 2 2 3 5" xfId="2634" xr:uid="{C657A3FE-8025-4436-A990-72A2097BA550}"/>
    <cellStyle name="Normal 8 3 2 2 3 6" xfId="1805" xr:uid="{D2D8B5F6-64A0-4597-BE4B-8FA3290E38DC}"/>
    <cellStyle name="Normal 8 3 2 2 4" xfId="3876" xr:uid="{DA6EA3CC-BAF9-49DF-8DAD-9817E8A7DA60}"/>
    <cellStyle name="Normal 8 3 2 2 4 2" xfId="6105" xr:uid="{23E42271-FDE6-4993-B16D-94F5A1763718}"/>
    <cellStyle name="Normal 8 3 2 2 4 2 2" xfId="10323" xr:uid="{3FFD5E0C-9BA3-4009-9598-67ABD4721675}"/>
    <cellStyle name="Normal 8 3 2 2 4 3" xfId="8178" xr:uid="{3F46C35D-56E3-478B-9F3E-C62DB70D47C4}"/>
    <cellStyle name="Normal 8 3 2 2 5" xfId="4289" xr:uid="{FEA0F720-92FD-4C84-A551-F0FB7998A34C}"/>
    <cellStyle name="Normal 8 3 2 2 5 2" xfId="6518" xr:uid="{8E50687E-0915-4BBC-A697-292CDEF80AC4}"/>
    <cellStyle name="Normal 8 3 2 2 5 2 2" xfId="10736" xr:uid="{97DF7946-8D12-4E38-BBD1-D715780C9596}"/>
    <cellStyle name="Normal 8 3 2 2 5 3" xfId="8591" xr:uid="{BCC104E6-844A-4229-902C-5261777A7B98}"/>
    <cellStyle name="Normal 8 3 2 2 6" xfId="4702" xr:uid="{5971311D-BE86-452C-8AE8-2F54FA52D0B1}"/>
    <cellStyle name="Normal 8 3 2 2 6 2" xfId="6931" xr:uid="{D61317B8-3D4C-460E-9B87-6E82567CCC7D}"/>
    <cellStyle name="Normal 8 3 2 2 6 2 2" xfId="11149" xr:uid="{A588D1B6-F9BF-475E-AEC4-129341E8A022}"/>
    <cellStyle name="Normal 8 3 2 2 6 3" xfId="9004" xr:uid="{BB9B71FE-A18C-4421-8B0B-26F3402AF4C6}"/>
    <cellStyle name="Normal 8 3 2 2 7" xfId="5138" xr:uid="{814F3A39-EAA6-4B5C-B135-1D360883BDFD}"/>
    <cellStyle name="Normal 8 3 2 2 7 2" xfId="9417" xr:uid="{3FCF50F4-F5AA-4D56-A6C3-6EDBCCED65AB}"/>
    <cellStyle name="Normal 8 3 2 2 8" xfId="7352" xr:uid="{C931CF3E-D892-4C29-A22E-043BEDEBBBA2}"/>
    <cellStyle name="Normal 8 3 2 2 9" xfId="3048" xr:uid="{7D895B2B-9401-4ACD-A4FD-6735530A2E5E}"/>
    <cellStyle name="Normal 8 3 2 3" xfId="502" xr:uid="{00000000-0005-0000-0000-000082030000}"/>
    <cellStyle name="Normal 8 3 2 3 10" xfId="1391" xr:uid="{C285114D-1907-4F92-AD79-CC2733F6058E}"/>
    <cellStyle name="Normal 8 3 2 3 2" xfId="974" xr:uid="{00000000-0005-0000-0000-000083030000}"/>
    <cellStyle name="Normal 8 3 2 3 2 2" xfId="5694" xr:uid="{7C607562-A9FD-4F6A-9706-F198C1DB5E0C}"/>
    <cellStyle name="Normal 8 3 2 3 2 2 2" xfId="9912" xr:uid="{4C75199E-1537-4B41-8E10-778E2F0DBDC3}"/>
    <cellStyle name="Normal 8 3 2 3 2 3" xfId="7767" xr:uid="{9B51B463-2661-4D89-AFC9-26AF319EC0DB}"/>
    <cellStyle name="Normal 8 3 2 3 2 4" xfId="3465" xr:uid="{B47A9E3B-7C93-435A-8A60-D4F33871FA39}"/>
    <cellStyle name="Normal 8 3 2 3 2 5" xfId="2636" xr:uid="{3D6E5105-1AFA-49EC-9502-05B10E6C7D4A}"/>
    <cellStyle name="Normal 8 3 2 3 2 6" xfId="1807" xr:uid="{9386E674-9E55-43AE-B478-7A79DD2832C6}"/>
    <cellStyle name="Normal 8 3 2 3 3" xfId="3878" xr:uid="{005F53D5-4115-4DEA-A3C0-3D74BBA00D7C}"/>
    <cellStyle name="Normal 8 3 2 3 3 2" xfId="6107" xr:uid="{01BC8515-860F-48CA-894C-8B8A2FDA34F3}"/>
    <cellStyle name="Normal 8 3 2 3 3 2 2" xfId="10325" xr:uid="{1A2E3F46-C858-4079-8E88-DB3106ED36F6}"/>
    <cellStyle name="Normal 8 3 2 3 3 3" xfId="8180" xr:uid="{93DEB928-2EEF-4A3C-AA1D-DFC342D2255E}"/>
    <cellStyle name="Normal 8 3 2 3 4" xfId="4291" xr:uid="{4F66935D-3D5F-48A4-96D5-5FA205E72C9B}"/>
    <cellStyle name="Normal 8 3 2 3 4 2" xfId="6520" xr:uid="{76E85419-4BEE-4673-9D41-24225240D448}"/>
    <cellStyle name="Normal 8 3 2 3 4 2 2" xfId="10738" xr:uid="{92FA2E8F-EDDC-4FA9-B366-241961FF6542}"/>
    <cellStyle name="Normal 8 3 2 3 4 3" xfId="8593" xr:uid="{1702F72D-193B-4710-8DFC-DE36D1098137}"/>
    <cellStyle name="Normal 8 3 2 3 5" xfId="4704" xr:uid="{6684BC85-4BE2-4B8A-8448-E230C6748A10}"/>
    <cellStyle name="Normal 8 3 2 3 5 2" xfId="6933" xr:uid="{85B3B2BC-129B-43C6-BD55-E73C6811EDCA}"/>
    <cellStyle name="Normal 8 3 2 3 5 2 2" xfId="11151" xr:uid="{BB1E71AE-88F1-41F6-8D40-DB4CC8037273}"/>
    <cellStyle name="Normal 8 3 2 3 5 3" xfId="9006" xr:uid="{5EA491A8-8D60-4011-810C-551B872AF9AA}"/>
    <cellStyle name="Normal 8 3 2 3 6" xfId="5140" xr:uid="{A41D766A-1035-4A67-84F1-92FE9D13FD3D}"/>
    <cellStyle name="Normal 8 3 2 3 6 2" xfId="9419" xr:uid="{CD33E29E-6488-49A2-BC06-E593C9DB2E8C}"/>
    <cellStyle name="Normal 8 3 2 3 7" xfId="7354" xr:uid="{5F03F22E-EF18-4430-A1C0-A30390C7BD8F}"/>
    <cellStyle name="Normal 8 3 2 3 8" xfId="3050" xr:uid="{0B612F28-0430-4875-AE23-180A9308D119}"/>
    <cellStyle name="Normal 8 3 2 3 9" xfId="2220" xr:uid="{F3DF6192-ED57-4865-8B1B-1CCC6D18E6D8}"/>
    <cellStyle name="Normal 8 3 2 4" xfId="971" xr:uid="{00000000-0005-0000-0000-000084030000}"/>
    <cellStyle name="Normal 8 3 2 4 2" xfId="5691" xr:uid="{48FB5ADF-EE13-4A34-B950-1E1BB52E2A71}"/>
    <cellStyle name="Normal 8 3 2 4 2 2" xfId="9909" xr:uid="{DB229312-EC2C-46E7-B940-711AA5669BF7}"/>
    <cellStyle name="Normal 8 3 2 4 3" xfId="7764" xr:uid="{A46E0952-FF9E-4865-9626-5B0D07BA82AA}"/>
    <cellStyle name="Normal 8 3 2 4 4" xfId="3462" xr:uid="{E4B09B46-470F-4D79-A482-12734C326F4C}"/>
    <cellStyle name="Normal 8 3 2 4 5" xfId="2633" xr:uid="{EACCDD9A-93EC-422A-A5A6-3CFB8148FFA3}"/>
    <cellStyle name="Normal 8 3 2 4 6" xfId="1804" xr:uid="{646D21E3-8792-4E03-9970-E1AF04195143}"/>
    <cellStyle name="Normal 8 3 2 5" xfId="3875" xr:uid="{BBB41D25-2C82-44E3-891F-7CBC34A06196}"/>
    <cellStyle name="Normal 8 3 2 5 2" xfId="6104" xr:uid="{A3E5DA8E-8819-49E2-8A07-FD37D0173188}"/>
    <cellStyle name="Normal 8 3 2 5 2 2" xfId="10322" xr:uid="{110D7A0F-77EC-43F6-B9C4-3E42B7C5B5FE}"/>
    <cellStyle name="Normal 8 3 2 5 3" xfId="8177" xr:uid="{09EEA603-7DD7-49F0-B02B-671CB48EEBFC}"/>
    <cellStyle name="Normal 8 3 2 6" xfId="4288" xr:uid="{5E0FC886-5E05-4F01-BB16-9442700FB027}"/>
    <cellStyle name="Normal 8 3 2 6 2" xfId="6517" xr:uid="{14ECE13B-24DD-48FA-97BC-E430DC25ADBD}"/>
    <cellStyle name="Normal 8 3 2 6 2 2" xfId="10735" xr:uid="{F9EA41DD-B6EC-41F4-B36F-EAEB646950E3}"/>
    <cellStyle name="Normal 8 3 2 6 3" xfId="8590" xr:uid="{1C70E5A8-638C-45D0-910B-08DC44588259}"/>
    <cellStyle name="Normal 8 3 2 7" xfId="4701" xr:uid="{A0A40720-2B44-4208-923F-33BB8290183C}"/>
    <cellStyle name="Normal 8 3 2 7 2" xfId="6930" xr:uid="{D049BF3F-EE00-48BC-8E5B-1D7D869D00B9}"/>
    <cellStyle name="Normal 8 3 2 7 2 2" xfId="11148" xr:uid="{3B3344F3-1043-47F7-8FFC-F32D5B0EE06B}"/>
    <cellStyle name="Normal 8 3 2 7 3" xfId="9003" xr:uid="{C3361F10-75FC-4F7D-BA3C-E99E2291FCEA}"/>
    <cellStyle name="Normal 8 3 2 8" xfId="5137" xr:uid="{695BBFAE-B6B6-480A-8419-79F731F5C262}"/>
    <cellStyle name="Normal 8 3 2 8 2" xfId="9416" xr:uid="{307BFE2E-AD87-4FE0-93F5-311D7E2544EA}"/>
    <cellStyle name="Normal 8 3 2 9" xfId="7351" xr:uid="{A2AE1738-785A-4644-83E7-03EFA34E819E}"/>
    <cellStyle name="Normal 8 3 3" xfId="503" xr:uid="{00000000-0005-0000-0000-000085030000}"/>
    <cellStyle name="Normal 8 3 3 10" xfId="2221" xr:uid="{8FC71217-DF50-4D96-B03C-AB7BB3D7E7E6}"/>
    <cellStyle name="Normal 8 3 3 11" xfId="1392" xr:uid="{67611E24-0B95-4F76-BA0C-DA615E94F7E5}"/>
    <cellStyle name="Normal 8 3 3 2" xfId="504" xr:uid="{00000000-0005-0000-0000-000086030000}"/>
    <cellStyle name="Normal 8 3 3 2 10" xfId="1393" xr:uid="{47B5D323-DF44-4B34-B0C5-29CC29F0D678}"/>
    <cellStyle name="Normal 8 3 3 2 2" xfId="976" xr:uid="{00000000-0005-0000-0000-000087030000}"/>
    <cellStyle name="Normal 8 3 3 2 2 2" xfId="5696" xr:uid="{F9128C37-3876-4FAC-BCAD-7D4911181E6D}"/>
    <cellStyle name="Normal 8 3 3 2 2 2 2" xfId="9914" xr:uid="{3E279C4C-E2A0-4F76-92D2-84E4B88F9311}"/>
    <cellStyle name="Normal 8 3 3 2 2 3" xfId="7769" xr:uid="{679D2598-E3D3-4057-A6EA-0DB7F6CCF514}"/>
    <cellStyle name="Normal 8 3 3 2 2 4" xfId="3467" xr:uid="{923EFA20-F603-4853-B387-0FA8356C1127}"/>
    <cellStyle name="Normal 8 3 3 2 2 5" xfId="2638" xr:uid="{9ADE3E26-3790-48C4-9A6B-643361447CB0}"/>
    <cellStyle name="Normal 8 3 3 2 2 6" xfId="1809" xr:uid="{542AEE44-2EF3-40E1-9347-3E6CCCFC1EA0}"/>
    <cellStyle name="Normal 8 3 3 2 3" xfId="3880" xr:uid="{872B6F13-D89E-4039-84E2-EB66431FF8F7}"/>
    <cellStyle name="Normal 8 3 3 2 3 2" xfId="6109" xr:uid="{2B30A02B-D21B-4463-8573-9EB9566E9C07}"/>
    <cellStyle name="Normal 8 3 3 2 3 2 2" xfId="10327" xr:uid="{D5F9F601-1014-407A-ABFD-5EAEEE0317CE}"/>
    <cellStyle name="Normal 8 3 3 2 3 3" xfId="8182" xr:uid="{24A0EEF9-A4CB-4915-B872-A3BD630F7743}"/>
    <cellStyle name="Normal 8 3 3 2 4" xfId="4293" xr:uid="{556FEE47-4DC1-4250-93D9-DFE48043DAC2}"/>
    <cellStyle name="Normal 8 3 3 2 4 2" xfId="6522" xr:uid="{5154636E-46F9-4209-91AA-83E8576CB2F4}"/>
    <cellStyle name="Normal 8 3 3 2 4 2 2" xfId="10740" xr:uid="{C0486621-88EA-489E-85FB-46C235D8605B}"/>
    <cellStyle name="Normal 8 3 3 2 4 3" xfId="8595" xr:uid="{28E1B04C-51FB-4E06-B084-AFE2FDAC9DE5}"/>
    <cellStyle name="Normal 8 3 3 2 5" xfId="4706" xr:uid="{58D750C3-2466-484B-B65A-9D2927119576}"/>
    <cellStyle name="Normal 8 3 3 2 5 2" xfId="6935" xr:uid="{1B24BFE9-BF55-4B8A-96A7-EE885837A313}"/>
    <cellStyle name="Normal 8 3 3 2 5 2 2" xfId="11153" xr:uid="{0872D169-0165-4BBB-A4A7-7C1DE173D80C}"/>
    <cellStyle name="Normal 8 3 3 2 5 3" xfId="9008" xr:uid="{1DE6C7A4-B07E-4E45-BCF4-F38ADBF7D1DD}"/>
    <cellStyle name="Normal 8 3 3 2 6" xfId="5142" xr:uid="{85011576-16F0-4AD0-AAAB-70E5DBF558A4}"/>
    <cellStyle name="Normal 8 3 3 2 6 2" xfId="9421" xr:uid="{1DB5D309-2369-4646-BEEA-1C650525C787}"/>
    <cellStyle name="Normal 8 3 3 2 7" xfId="7356" xr:uid="{BEAC8871-1189-4CA2-B674-A01FB59C6CD8}"/>
    <cellStyle name="Normal 8 3 3 2 8" xfId="3052" xr:uid="{55796F9B-93B1-4212-8668-7FFBAE74C3A4}"/>
    <cellStyle name="Normal 8 3 3 2 9" xfId="2222" xr:uid="{A7B4EDC9-EF8F-42C2-95C9-584E55995E1C}"/>
    <cellStyle name="Normal 8 3 3 3" xfId="975" xr:uid="{00000000-0005-0000-0000-000088030000}"/>
    <cellStyle name="Normal 8 3 3 3 2" xfId="5695" xr:uid="{500B6B7D-F697-4F9B-8912-839D7D95D3F3}"/>
    <cellStyle name="Normal 8 3 3 3 2 2" xfId="9913" xr:uid="{C3EFD7CD-1A89-4346-BD97-FB9225C18D9F}"/>
    <cellStyle name="Normal 8 3 3 3 3" xfId="7768" xr:uid="{DF3ED298-6E21-42C3-AB8B-7DD9B3DAC6D6}"/>
    <cellStyle name="Normal 8 3 3 3 4" xfId="3466" xr:uid="{6D26227F-52C6-4353-96EA-1E5A9A52F1E7}"/>
    <cellStyle name="Normal 8 3 3 3 5" xfId="2637" xr:uid="{3D41E6D1-84C4-4CC5-9E0B-85D0B6A13745}"/>
    <cellStyle name="Normal 8 3 3 3 6" xfId="1808" xr:uid="{58F6AE9C-8F5E-4BA8-8482-9285651DACBE}"/>
    <cellStyle name="Normal 8 3 3 4" xfId="3879" xr:uid="{2AB6224C-B5AB-4A8C-A17D-D61B378214C2}"/>
    <cellStyle name="Normal 8 3 3 4 2" xfId="6108" xr:uid="{D15F60C3-0064-432A-B845-4632240A50B1}"/>
    <cellStyle name="Normal 8 3 3 4 2 2" xfId="10326" xr:uid="{47E2CF4C-9693-428B-BB5E-38CD7862455C}"/>
    <cellStyle name="Normal 8 3 3 4 3" xfId="8181" xr:uid="{A6EC15F7-239C-4DDB-9338-4A99B4A207F6}"/>
    <cellStyle name="Normal 8 3 3 5" xfId="4292" xr:uid="{66C96228-C28E-48F2-91BB-99B773900EBA}"/>
    <cellStyle name="Normal 8 3 3 5 2" xfId="6521" xr:uid="{3428F06E-A86D-4ED5-97BE-E2CB24583991}"/>
    <cellStyle name="Normal 8 3 3 5 2 2" xfId="10739" xr:uid="{29A2729A-209E-4DC9-A5DA-02ECE7C1A04A}"/>
    <cellStyle name="Normal 8 3 3 5 3" xfId="8594" xr:uid="{9F297C70-D1E5-4AF6-A812-D3830A90717C}"/>
    <cellStyle name="Normal 8 3 3 6" xfId="4705" xr:uid="{A316AA95-3490-44B9-B579-DACDA52344BE}"/>
    <cellStyle name="Normal 8 3 3 6 2" xfId="6934" xr:uid="{6A4F8F11-F0EE-403E-8546-721912B362DF}"/>
    <cellStyle name="Normal 8 3 3 6 2 2" xfId="11152" xr:uid="{55192707-7D45-49F6-A225-658C6B6AC0A1}"/>
    <cellStyle name="Normal 8 3 3 6 3" xfId="9007" xr:uid="{D44FD338-962C-4B89-A101-145D5A4166E7}"/>
    <cellStyle name="Normal 8 3 3 7" xfId="5141" xr:uid="{5689FDEA-0595-42CA-A0FB-4BC51DE3D4F3}"/>
    <cellStyle name="Normal 8 3 3 7 2" xfId="9420" xr:uid="{C107E115-B3A1-466D-95DD-B2275DBA68E1}"/>
    <cellStyle name="Normal 8 3 3 8" xfId="7355" xr:uid="{BBC918DA-6F2D-4448-8DDC-EC0E5D8B46D3}"/>
    <cellStyle name="Normal 8 3 3 9" xfId="3051" xr:uid="{273D7F48-168E-413C-95BD-322304473F41}"/>
    <cellStyle name="Normal 8 3 4" xfId="505" xr:uid="{00000000-0005-0000-0000-000089030000}"/>
    <cellStyle name="Normal 8 3 4 10" xfId="1394" xr:uid="{23425FFC-7B1D-4950-8F5A-69400749CE09}"/>
    <cellStyle name="Normal 8 3 4 2" xfId="977" xr:uid="{00000000-0005-0000-0000-00008A030000}"/>
    <cellStyle name="Normal 8 3 4 2 2" xfId="5697" xr:uid="{B91F0251-7916-4E86-93F2-C808B54D1FFD}"/>
    <cellStyle name="Normal 8 3 4 2 2 2" xfId="9915" xr:uid="{AC39F3A1-680C-4461-914D-6853C8E2509E}"/>
    <cellStyle name="Normal 8 3 4 2 3" xfId="7770" xr:uid="{81A26203-BB1A-4357-AABC-950497CFD418}"/>
    <cellStyle name="Normal 8 3 4 2 4" xfId="3468" xr:uid="{A3AB809B-2030-48C9-9F1B-136641E65BCA}"/>
    <cellStyle name="Normal 8 3 4 2 5" xfId="2639" xr:uid="{C452CD81-9120-44BC-B489-C42CEEE67280}"/>
    <cellStyle name="Normal 8 3 4 2 6" xfId="1810" xr:uid="{F9F55623-E88A-4A6C-A94D-9270E3551D7B}"/>
    <cellStyle name="Normal 8 3 4 3" xfId="3881" xr:uid="{5BF7538F-62FC-4D43-B86E-7B21F9295845}"/>
    <cellStyle name="Normal 8 3 4 3 2" xfId="6110" xr:uid="{70A5185D-A1EE-4AF0-B362-B0B8F1661966}"/>
    <cellStyle name="Normal 8 3 4 3 2 2" xfId="10328" xr:uid="{AAD6B544-9C21-46A5-9394-35325C5F4B2C}"/>
    <cellStyle name="Normal 8 3 4 3 3" xfId="8183" xr:uid="{CE34DC40-927E-4BE5-9B05-706846C4EC3A}"/>
    <cellStyle name="Normal 8 3 4 4" xfId="4294" xr:uid="{C1E5A454-6776-4199-8331-CFD0B7AEEF32}"/>
    <cellStyle name="Normal 8 3 4 4 2" xfId="6523" xr:uid="{1B858F36-D4AD-4672-9A5C-B9A2E39E174C}"/>
    <cellStyle name="Normal 8 3 4 4 2 2" xfId="10741" xr:uid="{9F7A12FC-1417-46B8-998A-9A2B991D0162}"/>
    <cellStyle name="Normal 8 3 4 4 3" xfId="8596" xr:uid="{ABDC6FB4-3902-4D81-8883-2A955AC9144E}"/>
    <cellStyle name="Normal 8 3 4 5" xfId="4707" xr:uid="{11C19FF2-839D-46E2-BC87-B0B9C5D869CD}"/>
    <cellStyle name="Normal 8 3 4 5 2" xfId="6936" xr:uid="{C0469D24-E087-46E0-920B-332B162C628B}"/>
    <cellStyle name="Normal 8 3 4 5 2 2" xfId="11154" xr:uid="{D6E9180F-1890-4783-9392-AE3E39F5AA26}"/>
    <cellStyle name="Normal 8 3 4 5 3" xfId="9009" xr:uid="{D43B4A35-121C-4BCC-A9A9-5452BB5EC4EA}"/>
    <cellStyle name="Normal 8 3 4 6" xfId="5143" xr:uid="{DF567353-597D-4774-824A-752CDCF046B4}"/>
    <cellStyle name="Normal 8 3 4 6 2" xfId="9422" xr:uid="{C0F2533B-7BAC-42FB-9437-C9988520B6E0}"/>
    <cellStyle name="Normal 8 3 4 7" xfId="7357" xr:uid="{A94D03D2-0B41-4408-A1D8-3B9D17EC7795}"/>
    <cellStyle name="Normal 8 3 4 8" xfId="3053" xr:uid="{B877003D-9926-4E8F-9D02-5B828E793769}"/>
    <cellStyle name="Normal 8 3 4 9" xfId="2223" xr:uid="{10D48703-E7A3-4A09-89BA-6DCD233DF4C6}"/>
    <cellStyle name="Normal 8 3 5" xfId="970" xr:uid="{00000000-0005-0000-0000-00008B030000}"/>
    <cellStyle name="Normal 8 3 5 2" xfId="5690" xr:uid="{D1B76EFD-B16F-45EC-988E-8DC5D697143D}"/>
    <cellStyle name="Normal 8 3 5 2 2" xfId="9908" xr:uid="{2C3EDDE0-D942-4B30-BA1E-D61C95B9B30D}"/>
    <cellStyle name="Normal 8 3 5 3" xfId="7763" xr:uid="{C4C0AF54-2758-4F51-A92F-70B976B23E68}"/>
    <cellStyle name="Normal 8 3 5 4" xfId="3461" xr:uid="{DE482C5D-9413-41BC-AAD3-F7D2CD492CEC}"/>
    <cellStyle name="Normal 8 3 5 5" xfId="2632" xr:uid="{3CDA538B-5462-4563-8277-1208EFB3BF79}"/>
    <cellStyle name="Normal 8 3 5 6" xfId="1803" xr:uid="{18B7EAAF-A9BB-447F-B6C8-7D4A747F4787}"/>
    <cellStyle name="Normal 8 3 6" xfId="3874" xr:uid="{96344B3E-0809-4CC7-B3D3-9FFC0391714F}"/>
    <cellStyle name="Normal 8 3 6 2" xfId="6103" xr:uid="{F47D34CB-7406-45F6-89AA-B01894DE7CD5}"/>
    <cellStyle name="Normal 8 3 6 2 2" xfId="10321" xr:uid="{24F958DF-2D9A-4B7F-8EA3-7F4F389F317F}"/>
    <cellStyle name="Normal 8 3 6 3" xfId="8176" xr:uid="{A786BB49-E44F-45A9-B242-C63D981F601C}"/>
    <cellStyle name="Normal 8 3 7" xfId="4287" xr:uid="{AED60FDC-C8E8-4534-ACA8-2B03F88499EF}"/>
    <cellStyle name="Normal 8 3 7 2" xfId="6516" xr:uid="{08211512-FB7F-49E9-9069-801AC6D0B48D}"/>
    <cellStyle name="Normal 8 3 7 2 2" xfId="10734" xr:uid="{BD91187D-93F4-4A5B-AF50-6E3F732AEAC7}"/>
    <cellStyle name="Normal 8 3 7 3" xfId="8589" xr:uid="{085D02A9-5244-48A9-BB4E-3AB6AA103FE1}"/>
    <cellStyle name="Normal 8 3 8" xfId="4700" xr:uid="{662E4503-436B-4559-A5B7-CD1421C17A6C}"/>
    <cellStyle name="Normal 8 3 8 2" xfId="6929" xr:uid="{247AAC51-944E-4FFA-BF72-ED2C93ECE242}"/>
    <cellStyle name="Normal 8 3 8 2 2" xfId="11147" xr:uid="{9D5ED073-54AF-4A38-809D-3255761A3A90}"/>
    <cellStyle name="Normal 8 3 8 3" xfId="9002" xr:uid="{BC1D205C-77DD-41FD-B70D-C660FA2435FE}"/>
    <cellStyle name="Normal 8 3 9" xfId="5136" xr:uid="{2EECD059-756E-4ECA-ADE1-F29E64C64EF0}"/>
    <cellStyle name="Normal 8 3 9 2" xfId="9415" xr:uid="{B3E47E05-E901-430E-9185-E20D5ECC8C97}"/>
    <cellStyle name="Normal 8 4" xfId="506" xr:uid="{00000000-0005-0000-0000-00008C030000}"/>
    <cellStyle name="Normal 8 4 10" xfId="3054" xr:uid="{D50EC26E-19D0-42DD-924E-207A7ECBA5E5}"/>
    <cellStyle name="Normal 8 4 11" xfId="2224" xr:uid="{39796C69-8D19-4484-9EB1-FC1431FB12EE}"/>
    <cellStyle name="Normal 8 4 12" xfId="1395" xr:uid="{4284AEFF-D999-444D-8DD5-FB810AAE4AD7}"/>
    <cellStyle name="Normal 8 4 2" xfId="507" xr:uid="{00000000-0005-0000-0000-00008D030000}"/>
    <cellStyle name="Normal 8 4 2 10" xfId="2225" xr:uid="{CBB63ED5-BFC1-4DDF-894D-A17BB4E27FE5}"/>
    <cellStyle name="Normal 8 4 2 11" xfId="1396" xr:uid="{5F541904-258A-4E8F-85EF-8DA01291C3F0}"/>
    <cellStyle name="Normal 8 4 2 2" xfId="508" xr:uid="{00000000-0005-0000-0000-00008E030000}"/>
    <cellStyle name="Normal 8 4 2 2 10" xfId="1397" xr:uid="{73CE6AFD-C664-428E-BEBA-2DA44B00B631}"/>
    <cellStyle name="Normal 8 4 2 2 2" xfId="980" xr:uid="{00000000-0005-0000-0000-00008F030000}"/>
    <cellStyle name="Normal 8 4 2 2 2 2" xfId="5700" xr:uid="{36C90B6A-F125-42F1-B95A-62A31BE98CFF}"/>
    <cellStyle name="Normal 8 4 2 2 2 2 2" xfId="9918" xr:uid="{C318AAA6-308C-4733-BC16-341F9C94878D}"/>
    <cellStyle name="Normal 8 4 2 2 2 3" xfId="7773" xr:uid="{DD3D5939-A385-4BF1-AF81-F212E9437B5E}"/>
    <cellStyle name="Normal 8 4 2 2 2 4" xfId="3471" xr:uid="{76581358-6D49-4650-98C4-9F58147A2FFE}"/>
    <cellStyle name="Normal 8 4 2 2 2 5" xfId="2642" xr:uid="{9986F33D-123A-4734-98CF-D169D8E3B66D}"/>
    <cellStyle name="Normal 8 4 2 2 2 6" xfId="1813" xr:uid="{44D0E026-5255-4B22-9CC9-924A14EB511D}"/>
    <cellStyle name="Normal 8 4 2 2 3" xfId="3884" xr:uid="{05B8FF4A-8FA3-46FD-AA82-B7D11006FAC9}"/>
    <cellStyle name="Normal 8 4 2 2 3 2" xfId="6113" xr:uid="{DAD4B4AE-3CF9-4E0C-B18D-3EAA42AD2DD5}"/>
    <cellStyle name="Normal 8 4 2 2 3 2 2" xfId="10331" xr:uid="{A51563C3-CB90-4CA3-8118-9927916B4333}"/>
    <cellStyle name="Normal 8 4 2 2 3 3" xfId="8186" xr:uid="{7B3880E2-3747-4C94-A2D1-0B8A2D0C8BA4}"/>
    <cellStyle name="Normal 8 4 2 2 4" xfId="4297" xr:uid="{B9992FB6-4279-40CB-A79C-F26B88971084}"/>
    <cellStyle name="Normal 8 4 2 2 4 2" xfId="6526" xr:uid="{E53CA558-B9AF-4CAF-B460-AE6E37A6B0C2}"/>
    <cellStyle name="Normal 8 4 2 2 4 2 2" xfId="10744" xr:uid="{4DFE43E9-CCA1-4425-B91E-B9DB00BBF667}"/>
    <cellStyle name="Normal 8 4 2 2 4 3" xfId="8599" xr:uid="{20591BFD-19B9-4A4D-B807-6762C7668113}"/>
    <cellStyle name="Normal 8 4 2 2 5" xfId="4710" xr:uid="{53131B30-9658-46D8-A060-CBC67C8E21AA}"/>
    <cellStyle name="Normal 8 4 2 2 5 2" xfId="6939" xr:uid="{EF9DCF4E-0020-404E-9BDC-9F3618AAC628}"/>
    <cellStyle name="Normal 8 4 2 2 5 2 2" xfId="11157" xr:uid="{349280B0-189E-4CD2-B26A-553DFF8D36E7}"/>
    <cellStyle name="Normal 8 4 2 2 5 3" xfId="9012" xr:uid="{1A2CA713-A882-4A59-9D23-00B571934969}"/>
    <cellStyle name="Normal 8 4 2 2 6" xfId="5146" xr:uid="{19B494EC-1928-4790-966B-B2DB9416C219}"/>
    <cellStyle name="Normal 8 4 2 2 6 2" xfId="9425" xr:uid="{628EC8A2-4016-4607-B012-A4B2EB8A3A27}"/>
    <cellStyle name="Normal 8 4 2 2 7" xfId="7360" xr:uid="{BDAD5B74-C4C3-424B-BF88-4F2B07C6BFF8}"/>
    <cellStyle name="Normal 8 4 2 2 8" xfId="3056" xr:uid="{3EAB1A3E-70BC-4E65-B1BF-65926FDF587E}"/>
    <cellStyle name="Normal 8 4 2 2 9" xfId="2226" xr:uid="{DC8D8BC7-FA70-414C-B411-818A98C4D555}"/>
    <cellStyle name="Normal 8 4 2 3" xfId="979" xr:uid="{00000000-0005-0000-0000-000090030000}"/>
    <cellStyle name="Normal 8 4 2 3 2" xfId="5699" xr:uid="{E5D59030-F813-4839-8509-E4E2F45F57E1}"/>
    <cellStyle name="Normal 8 4 2 3 2 2" xfId="9917" xr:uid="{A232BE97-C40B-4700-BDF9-4E191B4892B3}"/>
    <cellStyle name="Normal 8 4 2 3 3" xfId="7772" xr:uid="{37495956-E11A-4A2F-B922-6537387E192F}"/>
    <cellStyle name="Normal 8 4 2 3 4" xfId="3470" xr:uid="{E4B71B57-B739-4F1F-8611-DF8BA9347ED4}"/>
    <cellStyle name="Normal 8 4 2 3 5" xfId="2641" xr:uid="{23B59DFC-6544-4292-8109-AF13460D1C8C}"/>
    <cellStyle name="Normal 8 4 2 3 6" xfId="1812" xr:uid="{CDC670A7-8AEB-4B72-A52F-66CCE4D0E13B}"/>
    <cellStyle name="Normal 8 4 2 4" xfId="3883" xr:uid="{1782F866-A8AD-46A5-9AE4-9FA13C09B2B2}"/>
    <cellStyle name="Normal 8 4 2 4 2" xfId="6112" xr:uid="{F4FF7ED8-EFDC-4776-8B2E-940B0B1EC029}"/>
    <cellStyle name="Normal 8 4 2 4 2 2" xfId="10330" xr:uid="{DAF4AD68-3795-4ADE-B991-0C4096BEF4BF}"/>
    <cellStyle name="Normal 8 4 2 4 3" xfId="8185" xr:uid="{6D0AB22F-75B5-4F1F-BE85-BA57F9D1C8CA}"/>
    <cellStyle name="Normal 8 4 2 5" xfId="4296" xr:uid="{E5D57D13-106F-4769-9888-D327B9F548E8}"/>
    <cellStyle name="Normal 8 4 2 5 2" xfId="6525" xr:uid="{9D03373C-ADB0-4F99-887F-279A50D40A08}"/>
    <cellStyle name="Normal 8 4 2 5 2 2" xfId="10743" xr:uid="{F593C737-3710-4377-9A1B-1EE4B9273A25}"/>
    <cellStyle name="Normal 8 4 2 5 3" xfId="8598" xr:uid="{6025FDCC-5A1A-4E7F-AA62-24FAB3826981}"/>
    <cellStyle name="Normal 8 4 2 6" xfId="4709" xr:uid="{48F5D2C2-2CF7-4BBD-9326-F4403911E9E2}"/>
    <cellStyle name="Normal 8 4 2 6 2" xfId="6938" xr:uid="{61983B65-E465-4DB8-B7E4-10BE1ED53C32}"/>
    <cellStyle name="Normal 8 4 2 6 2 2" xfId="11156" xr:uid="{F28B888F-74DA-4E64-B7B5-79C8DA625C01}"/>
    <cellStyle name="Normal 8 4 2 6 3" xfId="9011" xr:uid="{40C37A57-3A31-4465-BE58-8B193716737C}"/>
    <cellStyle name="Normal 8 4 2 7" xfId="5145" xr:uid="{DAFDD893-54A6-4149-BDCF-DFA10A10E0EC}"/>
    <cellStyle name="Normal 8 4 2 7 2" xfId="9424" xr:uid="{AC7028EC-99DE-402D-8F7C-1305954CB526}"/>
    <cellStyle name="Normal 8 4 2 8" xfId="7359" xr:uid="{18F012DD-71C5-41BB-8B67-42D9613C31CC}"/>
    <cellStyle name="Normal 8 4 2 9" xfId="3055" xr:uid="{5DEC35DC-5C8C-4D3B-978F-3FC539F38B63}"/>
    <cellStyle name="Normal 8 4 3" xfId="509" xr:uid="{00000000-0005-0000-0000-000091030000}"/>
    <cellStyle name="Normal 8 4 3 10" xfId="1398" xr:uid="{62518A57-A261-463B-A551-443EEB3AA8BF}"/>
    <cellStyle name="Normal 8 4 3 2" xfId="981" xr:uid="{00000000-0005-0000-0000-000092030000}"/>
    <cellStyle name="Normal 8 4 3 2 2" xfId="5701" xr:uid="{F12CFB4E-F69A-46A8-A5AE-FAF66EC8AA6C}"/>
    <cellStyle name="Normal 8 4 3 2 2 2" xfId="9919" xr:uid="{087915A6-C404-43C8-9BA0-914298361C06}"/>
    <cellStyle name="Normal 8 4 3 2 3" xfId="7774" xr:uid="{C05881D0-0BC5-4180-AE1F-76135A79BEF8}"/>
    <cellStyle name="Normal 8 4 3 2 4" xfId="3472" xr:uid="{3DF4C4F9-3EBF-4541-8549-7835A4A6941C}"/>
    <cellStyle name="Normal 8 4 3 2 5" xfId="2643" xr:uid="{B3D9495A-34E7-4BEC-8CA7-DDC993928929}"/>
    <cellStyle name="Normal 8 4 3 2 6" xfId="1814" xr:uid="{81F4AB26-6D1D-4CFC-AF84-0E19107C0C7E}"/>
    <cellStyle name="Normal 8 4 3 3" xfId="3885" xr:uid="{0DDA6687-7EBC-48D3-A3B8-2378288CF929}"/>
    <cellStyle name="Normal 8 4 3 3 2" xfId="6114" xr:uid="{BCB92027-0B32-416F-9C15-29CE242BABCA}"/>
    <cellStyle name="Normal 8 4 3 3 2 2" xfId="10332" xr:uid="{BEAEF951-696C-4D9B-B1F8-86C644A4DE8A}"/>
    <cellStyle name="Normal 8 4 3 3 3" xfId="8187" xr:uid="{B44591A2-4C0E-4B07-88EF-D51801835E4D}"/>
    <cellStyle name="Normal 8 4 3 4" xfId="4298" xr:uid="{8E89EC84-3388-4F21-BEFD-154B81DFB1E1}"/>
    <cellStyle name="Normal 8 4 3 4 2" xfId="6527" xr:uid="{4B518893-B6DB-4ED7-8F9C-3EB9CFE21D37}"/>
    <cellStyle name="Normal 8 4 3 4 2 2" xfId="10745" xr:uid="{43A13AEE-08B5-4808-94BC-62B64B4A7E3B}"/>
    <cellStyle name="Normal 8 4 3 4 3" xfId="8600" xr:uid="{73146205-30AE-434E-BA6A-4694D1D8E8FB}"/>
    <cellStyle name="Normal 8 4 3 5" xfId="4711" xr:uid="{CE98B3A9-064D-45F2-A77F-1FD6B3A4F702}"/>
    <cellStyle name="Normal 8 4 3 5 2" xfId="6940" xr:uid="{6A2EE930-518C-4969-86B5-A4AE10F7C6B6}"/>
    <cellStyle name="Normal 8 4 3 5 2 2" xfId="11158" xr:uid="{C602CA3B-BB76-45E1-BFCF-B1EADDDCA351}"/>
    <cellStyle name="Normal 8 4 3 5 3" xfId="9013" xr:uid="{172AB429-15F2-4E07-BE1A-98DAA684AEB0}"/>
    <cellStyle name="Normal 8 4 3 6" xfId="5147" xr:uid="{6C980810-D26D-4A9F-89A1-123E9E82BAC5}"/>
    <cellStyle name="Normal 8 4 3 6 2" xfId="9426" xr:uid="{C2DB1532-B040-4097-A511-A13AD366BDD4}"/>
    <cellStyle name="Normal 8 4 3 7" xfId="7361" xr:uid="{7EAC2B89-D60D-49AE-94D1-42CB41B8E8DD}"/>
    <cellStyle name="Normal 8 4 3 8" xfId="3057" xr:uid="{2DE367BF-8D81-471E-9374-231BFC326819}"/>
    <cellStyle name="Normal 8 4 3 9" xfId="2227" xr:uid="{D0D298DF-A2F9-4C69-9142-039EB3FF5075}"/>
    <cellStyle name="Normal 8 4 4" xfId="978" xr:uid="{00000000-0005-0000-0000-000093030000}"/>
    <cellStyle name="Normal 8 4 4 2" xfId="5698" xr:uid="{0D3D3AF5-0F0A-4579-804D-93CED11AAB34}"/>
    <cellStyle name="Normal 8 4 4 2 2" xfId="9916" xr:uid="{65DDF106-8A30-4756-B570-7EB12761F8CF}"/>
    <cellStyle name="Normal 8 4 4 3" xfId="7771" xr:uid="{0AC8D9D4-4627-4C85-8A67-7F3C7B776E97}"/>
    <cellStyle name="Normal 8 4 4 4" xfId="3469" xr:uid="{8EB84B34-588C-4128-9CE7-0578FF6B6D9F}"/>
    <cellStyle name="Normal 8 4 4 5" xfId="2640" xr:uid="{48804345-24DD-4776-B187-A9AA3D7AAF00}"/>
    <cellStyle name="Normal 8 4 4 6" xfId="1811" xr:uid="{4FE6D2D7-C68F-456A-A7C1-557FAF2DA7C3}"/>
    <cellStyle name="Normal 8 4 5" xfId="3882" xr:uid="{9977645A-A50D-4AB3-B0C9-C97C97D07A43}"/>
    <cellStyle name="Normal 8 4 5 2" xfId="6111" xr:uid="{B9A7E658-86FF-4FF9-B5D9-D18DCAD4F0E0}"/>
    <cellStyle name="Normal 8 4 5 2 2" xfId="10329" xr:uid="{6D63B4C6-8B29-4F64-B63D-7F9D9A946EC1}"/>
    <cellStyle name="Normal 8 4 5 3" xfId="8184" xr:uid="{AE1B36E9-4E06-46BD-A0EB-449E68B64140}"/>
    <cellStyle name="Normal 8 4 6" xfId="4295" xr:uid="{01B2EEC4-0241-4C7D-9255-F5E8CE4F7C38}"/>
    <cellStyle name="Normal 8 4 6 2" xfId="6524" xr:uid="{BFDDDF2C-18DF-4B3A-B116-DEB987998840}"/>
    <cellStyle name="Normal 8 4 6 2 2" xfId="10742" xr:uid="{F8B8D16E-3F3E-4FB9-B04F-9409566CFEEA}"/>
    <cellStyle name="Normal 8 4 6 3" xfId="8597" xr:uid="{842063A1-7E9D-4B4A-933D-068451E6F2E9}"/>
    <cellStyle name="Normal 8 4 7" xfId="4708" xr:uid="{54CA7070-9EAE-4695-AFCF-5241D441657E}"/>
    <cellStyle name="Normal 8 4 7 2" xfId="6937" xr:uid="{65859CB9-D97B-412C-BD36-EFF857A1C1C3}"/>
    <cellStyle name="Normal 8 4 7 2 2" xfId="11155" xr:uid="{A9CB1B41-3695-47E0-90CE-F6293F52B3BB}"/>
    <cellStyle name="Normal 8 4 7 3" xfId="9010" xr:uid="{77EE3B0D-7C71-480F-B269-6CC085247F7A}"/>
    <cellStyle name="Normal 8 4 8" xfId="5144" xr:uid="{48F089D0-173A-4B32-8BC3-F4DEDF9BB755}"/>
    <cellStyle name="Normal 8 4 8 2" xfId="9423" xr:uid="{88CE587F-6051-427C-B840-F1AF63E3F9F0}"/>
    <cellStyle name="Normal 8 4 9" xfId="7358" xr:uid="{A7801927-4587-4C34-A168-92C78EE5DF74}"/>
    <cellStyle name="Normal 8 5" xfId="510" xr:uid="{00000000-0005-0000-0000-000094030000}"/>
    <cellStyle name="Normal 8 5 10" xfId="2228" xr:uid="{CCF8193A-095F-48D8-AD0A-0416D176C472}"/>
    <cellStyle name="Normal 8 5 11" xfId="1399" xr:uid="{4B664E01-EA8E-4375-91E1-C065CC3BF2D3}"/>
    <cellStyle name="Normal 8 5 2" xfId="511" xr:uid="{00000000-0005-0000-0000-000095030000}"/>
    <cellStyle name="Normal 8 5 2 10" xfId="1400" xr:uid="{C4F56E6B-A63B-4226-AFB9-2D48DCA5DFEE}"/>
    <cellStyle name="Normal 8 5 2 2" xfId="983" xr:uid="{00000000-0005-0000-0000-000096030000}"/>
    <cellStyle name="Normal 8 5 2 2 2" xfId="5703" xr:uid="{36322AE0-8A85-4CE8-89CF-B228C5673B57}"/>
    <cellStyle name="Normal 8 5 2 2 2 2" xfId="9921" xr:uid="{9E483A17-13DE-46D7-9D0E-E4DD39D539AA}"/>
    <cellStyle name="Normal 8 5 2 2 3" xfId="7776" xr:uid="{0D0E50B0-9134-4284-8A57-4331949D3525}"/>
    <cellStyle name="Normal 8 5 2 2 4" xfId="3474" xr:uid="{1DFF0B93-4C58-4892-8001-45DFA6774C59}"/>
    <cellStyle name="Normal 8 5 2 2 5" xfId="2645" xr:uid="{7AC4EDC1-0493-4569-B2EA-3B7D99C31AC4}"/>
    <cellStyle name="Normal 8 5 2 2 6" xfId="1816" xr:uid="{169DBAC3-B851-4851-A431-5669D92A522B}"/>
    <cellStyle name="Normal 8 5 2 3" xfId="3887" xr:uid="{FBA1A297-969B-4160-B7C4-11F237E0E08E}"/>
    <cellStyle name="Normal 8 5 2 3 2" xfId="6116" xr:uid="{DBC050DB-8476-4657-A7F3-EBB45B98C771}"/>
    <cellStyle name="Normal 8 5 2 3 2 2" xfId="10334" xr:uid="{6387ED40-B4E2-402D-A37E-E038066F9DA8}"/>
    <cellStyle name="Normal 8 5 2 3 3" xfId="8189" xr:uid="{406EC225-3D4C-45BF-BA36-C410BC7EACA2}"/>
    <cellStyle name="Normal 8 5 2 4" xfId="4300" xr:uid="{B572CF03-D0E9-48C9-A888-56C5F328724B}"/>
    <cellStyle name="Normal 8 5 2 4 2" xfId="6529" xr:uid="{14479A6E-2C62-41AB-89C2-D3630E4428AD}"/>
    <cellStyle name="Normal 8 5 2 4 2 2" xfId="10747" xr:uid="{4135BC68-80FB-4271-980D-04B0D053DBA0}"/>
    <cellStyle name="Normal 8 5 2 4 3" xfId="8602" xr:uid="{6DA41BE2-D4D7-48B6-B406-5D99E6ADEC36}"/>
    <cellStyle name="Normal 8 5 2 5" xfId="4713" xr:uid="{3B283D06-A6DC-4CCC-B140-8AE0C07ED505}"/>
    <cellStyle name="Normal 8 5 2 5 2" xfId="6942" xr:uid="{784521A2-1644-431F-8076-8BB3F314BCAF}"/>
    <cellStyle name="Normal 8 5 2 5 2 2" xfId="11160" xr:uid="{5C575F56-470E-43A2-B128-470DA05AE1C1}"/>
    <cellStyle name="Normal 8 5 2 5 3" xfId="9015" xr:uid="{903F03BE-0E09-4670-9C7E-D15D5C1C1529}"/>
    <cellStyle name="Normal 8 5 2 6" xfId="5149" xr:uid="{F3584167-F955-47FC-A184-880619517DCA}"/>
    <cellStyle name="Normal 8 5 2 6 2" xfId="9428" xr:uid="{A8111B75-CB79-410C-A230-BC46C5337A76}"/>
    <cellStyle name="Normal 8 5 2 7" xfId="7363" xr:uid="{750266CD-E7C9-45C1-87B4-0D2ADC3138B3}"/>
    <cellStyle name="Normal 8 5 2 8" xfId="3059" xr:uid="{D3A7EE95-A12B-4351-919B-EB770E9147C0}"/>
    <cellStyle name="Normal 8 5 2 9" xfId="2229" xr:uid="{2E4E0131-AB88-47DC-9A2B-395517C40CE1}"/>
    <cellStyle name="Normal 8 5 3" xfId="982" xr:uid="{00000000-0005-0000-0000-000097030000}"/>
    <cellStyle name="Normal 8 5 3 2" xfId="5702" xr:uid="{0D9BCAC0-EC6D-4694-A939-09DA75324ABC}"/>
    <cellStyle name="Normal 8 5 3 2 2" xfId="9920" xr:uid="{00F6E753-6D53-42EB-9BA0-F291F5189602}"/>
    <cellStyle name="Normal 8 5 3 3" xfId="7775" xr:uid="{7B1EFD66-EB0F-4155-AA02-76A85EEF5ED5}"/>
    <cellStyle name="Normal 8 5 3 4" xfId="3473" xr:uid="{DDEF7C66-C589-456D-BCBF-D8D9CCB06410}"/>
    <cellStyle name="Normal 8 5 3 5" xfId="2644" xr:uid="{4BBCE8C1-520B-44B8-970C-132A219B4F94}"/>
    <cellStyle name="Normal 8 5 3 6" xfId="1815" xr:uid="{3281223C-909F-4AA4-9CAF-62B74556BB81}"/>
    <cellStyle name="Normal 8 5 4" xfId="3886" xr:uid="{E0A364DE-1BA2-4FF8-923E-9BEF17B7CF77}"/>
    <cellStyle name="Normal 8 5 4 2" xfId="6115" xr:uid="{57784060-F26D-4AB3-A1B5-CF9EFDA40EDD}"/>
    <cellStyle name="Normal 8 5 4 2 2" xfId="10333" xr:uid="{E4B515AD-F7B1-4660-97C3-F8E6DBDDB8F9}"/>
    <cellStyle name="Normal 8 5 4 3" xfId="8188" xr:uid="{A50D4B90-2495-4451-957B-D91B77E08A09}"/>
    <cellStyle name="Normal 8 5 5" xfId="4299" xr:uid="{9F21A7C8-5B1D-4F43-B419-E209FB3EB6F4}"/>
    <cellStyle name="Normal 8 5 5 2" xfId="6528" xr:uid="{C4DA7CED-5CDA-41DA-91C3-F92ADE27A308}"/>
    <cellStyle name="Normal 8 5 5 2 2" xfId="10746" xr:uid="{4C1A07C9-6269-4596-BF4B-6A9FFF5D9337}"/>
    <cellStyle name="Normal 8 5 5 3" xfId="8601" xr:uid="{91ABAB0D-B9EB-46C1-90E0-B3D060497D8A}"/>
    <cellStyle name="Normal 8 5 6" xfId="4712" xr:uid="{F438E61A-C4DC-45EA-AADD-9FF84D8C9C64}"/>
    <cellStyle name="Normal 8 5 6 2" xfId="6941" xr:uid="{E583C0DD-FA23-4580-9883-62466D323917}"/>
    <cellStyle name="Normal 8 5 6 2 2" xfId="11159" xr:uid="{1D78D22B-609F-40D5-A5AE-D38DA6D05468}"/>
    <cellStyle name="Normal 8 5 6 3" xfId="9014" xr:uid="{E30DBF7C-31FC-4B08-AEE6-503E75D5D406}"/>
    <cellStyle name="Normal 8 5 7" xfId="5148" xr:uid="{42A6114E-E597-413E-ADCC-F83ED6EFD89A}"/>
    <cellStyle name="Normal 8 5 7 2" xfId="9427" xr:uid="{C916A587-C2EF-4666-AAB1-8772835F6DD8}"/>
    <cellStyle name="Normal 8 5 8" xfId="7362" xr:uid="{D27CE9AC-4199-437E-9FA2-CE4AD2B6AF96}"/>
    <cellStyle name="Normal 8 5 9" xfId="3058" xr:uid="{74EE9094-0A73-4097-89D6-08431C1E251A}"/>
    <cellStyle name="Normal 8 6" xfId="512" xr:uid="{00000000-0005-0000-0000-000098030000}"/>
    <cellStyle name="Normal 8 6 10" xfId="1401" xr:uid="{945B0718-839A-4E7E-9532-67E255A4486B}"/>
    <cellStyle name="Normal 8 6 2" xfId="984" xr:uid="{00000000-0005-0000-0000-000099030000}"/>
    <cellStyle name="Normal 8 6 2 2" xfId="5704" xr:uid="{8F46C500-8121-4FAA-A117-45BA45A29A96}"/>
    <cellStyle name="Normal 8 6 2 2 2" xfId="9922" xr:uid="{961EF3AE-BF08-479E-A9FF-11D8F2496F6F}"/>
    <cellStyle name="Normal 8 6 2 3" xfId="7777" xr:uid="{ABDF4308-4F50-46DD-A938-E028363F1F7D}"/>
    <cellStyle name="Normal 8 6 2 4" xfId="3475" xr:uid="{B7F0E9D5-8F84-4E7A-84B5-5AB4826F5AEB}"/>
    <cellStyle name="Normal 8 6 2 5" xfId="2646" xr:uid="{100C083F-09F3-46C9-AE11-7193571B0AB4}"/>
    <cellStyle name="Normal 8 6 2 6" xfId="1817" xr:uid="{FBF61126-3D66-4107-AA4D-D0E98E0A5FCA}"/>
    <cellStyle name="Normal 8 6 3" xfId="3888" xr:uid="{DF8FE4D8-1553-40E0-B6C2-0132A9456585}"/>
    <cellStyle name="Normal 8 6 3 2" xfId="6117" xr:uid="{2F0A06B6-9CDD-489E-9CC7-564AEA8FFA5C}"/>
    <cellStyle name="Normal 8 6 3 2 2" xfId="10335" xr:uid="{7F613BA7-22BE-47BA-89F8-0D5E5EC5C206}"/>
    <cellStyle name="Normal 8 6 3 3" xfId="8190" xr:uid="{5009C057-A5E2-4630-8AD5-DF29400BFAC8}"/>
    <cellStyle name="Normal 8 6 4" xfId="4301" xr:uid="{B58C6AB7-2621-4EFD-9FDA-ECBD9F2EFDA2}"/>
    <cellStyle name="Normal 8 6 4 2" xfId="6530" xr:uid="{EA6B45A6-4CE2-45A3-B0B4-D2CD4FFD0261}"/>
    <cellStyle name="Normal 8 6 4 2 2" xfId="10748" xr:uid="{53B7D1A9-9097-4729-B5D5-0B2C4F06D0CF}"/>
    <cellStyle name="Normal 8 6 4 3" xfId="8603" xr:uid="{3E5AE6BF-4FA2-467D-929A-C1128DADAE28}"/>
    <cellStyle name="Normal 8 6 5" xfId="4714" xr:uid="{4C41D00A-C2B7-4710-BD1A-149294965770}"/>
    <cellStyle name="Normal 8 6 5 2" xfId="6943" xr:uid="{A2097923-018F-439A-8522-A2C3427C7C60}"/>
    <cellStyle name="Normal 8 6 5 2 2" xfId="11161" xr:uid="{F1AEA2A3-D45B-4E9A-B0B3-A04AC2428D9D}"/>
    <cellStyle name="Normal 8 6 5 3" xfId="9016" xr:uid="{62C29BC8-C764-4F80-BB86-7C067E74478C}"/>
    <cellStyle name="Normal 8 6 6" xfId="5150" xr:uid="{B9B50818-1D3E-45CE-AAE0-096A6634EA83}"/>
    <cellStyle name="Normal 8 6 6 2" xfId="9429" xr:uid="{041E8361-BF2D-4DAB-B7C9-A804C1797E02}"/>
    <cellStyle name="Normal 8 6 7" xfId="7364" xr:uid="{96F0D0F4-4CA3-441F-987A-DA9076C50659}"/>
    <cellStyle name="Normal 8 6 8" xfId="3060" xr:uid="{D21DF1DA-D1EE-4786-8EE0-845E0851A4D3}"/>
    <cellStyle name="Normal 8 6 9" xfId="2230" xr:uid="{8A25F926-827B-498D-9E84-2A14DC3EB90D}"/>
    <cellStyle name="Normal 8 7" xfId="953" xr:uid="{00000000-0005-0000-0000-00009A030000}"/>
    <cellStyle name="Normal 8 7 2" xfId="5673" xr:uid="{2FC0F0F4-A01C-4785-A3F7-FF34E6C47401}"/>
    <cellStyle name="Normal 8 7 2 2" xfId="9891" xr:uid="{CEAFAB6F-EB23-4F76-856C-29D150F5396E}"/>
    <cellStyle name="Normal 8 7 3" xfId="7746" xr:uid="{373CCFBC-518F-46E1-9081-6F60F9C87B72}"/>
    <cellStyle name="Normal 8 7 4" xfId="3444" xr:uid="{03823B1B-81FE-47A1-AB39-7A8E4C78A91D}"/>
    <cellStyle name="Normal 8 7 5" xfId="2615" xr:uid="{95032BB3-35FF-40E1-AB3B-ED34004DACB3}"/>
    <cellStyle name="Normal 8 7 6" xfId="1786" xr:uid="{8E17E3AE-F48A-4CDA-83CD-DE5C4B4DBAA7}"/>
    <cellStyle name="Normal 8 8" xfId="3857" xr:uid="{C592DD1D-5FBE-4190-9773-D840CAEF569C}"/>
    <cellStyle name="Normal 8 8 2" xfId="6086" xr:uid="{36ADF4FC-439B-4618-8ADE-5E888E403B0C}"/>
    <cellStyle name="Normal 8 8 2 2" xfId="10304" xr:uid="{92BF2241-F31E-4C14-B724-7C2A777BBD80}"/>
    <cellStyle name="Normal 8 8 3" xfId="8159" xr:uid="{B8A16182-BA75-4EC1-A8C7-AC358CE9A8F2}"/>
    <cellStyle name="Normal 8 9" xfId="4270" xr:uid="{A0527931-54DE-432B-9125-65CCDE5349E1}"/>
    <cellStyle name="Normal 8 9 2" xfId="6499" xr:uid="{68BCF5B9-65FA-41B8-85CD-F4B7F5E06154}"/>
    <cellStyle name="Normal 8 9 2 2" xfId="10717" xr:uid="{91BE0F42-C244-4B9D-8CB9-837969D539A0}"/>
    <cellStyle name="Normal 8 9 3" xfId="8572" xr:uid="{2FDD5AF5-3C7F-46FD-99D6-99F60FCFC6D3}"/>
    <cellStyle name="Normal 9" xfId="513" xr:uid="{00000000-0005-0000-0000-00009B030000}"/>
    <cellStyle name="Normal 9 2" xfId="514" xr:uid="{00000000-0005-0000-0000-00009C030000}"/>
    <cellStyle name="Normal 9 2 10" xfId="5151" xr:uid="{24030BDB-7B5F-46C8-B28C-D2E8DC8CF9E7}"/>
    <cellStyle name="Normal 9 2 10 2" xfId="9430" xr:uid="{6D2E7500-807E-4CA7-B8C3-E08828F11F95}"/>
    <cellStyle name="Normal 9 2 11" xfId="7365" xr:uid="{5DDDD77F-59FF-40EA-AF0D-60896A61A844}"/>
    <cellStyle name="Normal 9 2 12" xfId="3061" xr:uid="{78CCDB7A-7BCD-49D1-939A-FCBFBEDCB767}"/>
    <cellStyle name="Normal 9 2 13" xfId="2231" xr:uid="{C1246ABB-3BA1-47A7-BE4E-0C6D912A1952}"/>
    <cellStyle name="Normal 9 2 14" xfId="1402" xr:uid="{DC27C8AB-C549-407D-B0A4-17171B3E4737}"/>
    <cellStyle name="Normal 9 2 2" xfId="515" xr:uid="{00000000-0005-0000-0000-00009D030000}"/>
    <cellStyle name="Normal 9 2 2 10" xfId="7366" xr:uid="{19CD1C59-7556-43EB-B5DE-C2720BA71367}"/>
    <cellStyle name="Normal 9 2 2 11" xfId="3062" xr:uid="{80777FDA-8F14-47E9-947E-770EC47645A3}"/>
    <cellStyle name="Normal 9 2 2 12" xfId="2232" xr:uid="{8D35CE47-2A4E-442E-8ED1-A0ADFB6D9EB0}"/>
    <cellStyle name="Normal 9 2 2 13" xfId="1403" xr:uid="{F4A816ED-977D-4CFC-B421-E8D90921017F}"/>
    <cellStyle name="Normal 9 2 2 2" xfId="516" xr:uid="{00000000-0005-0000-0000-00009E030000}"/>
    <cellStyle name="Normal 9 2 2 2 10" xfId="3063" xr:uid="{173DE1D9-EA22-4585-AEB5-A62A9A3583E4}"/>
    <cellStyle name="Normal 9 2 2 2 11" xfId="2233" xr:uid="{F09D20DE-C304-4828-88E8-EDDA6C5EE673}"/>
    <cellStyle name="Normal 9 2 2 2 12" xfId="1404" xr:uid="{8A26D0E1-5E74-4408-AD58-206FBB884974}"/>
    <cellStyle name="Normal 9 2 2 2 2" xfId="517" xr:uid="{00000000-0005-0000-0000-00009F030000}"/>
    <cellStyle name="Normal 9 2 2 2 2 10" xfId="2234" xr:uid="{93D1EBCA-C5A8-4A3E-8825-B3ED12F063E1}"/>
    <cellStyle name="Normal 9 2 2 2 2 11" xfId="1405" xr:uid="{045057BF-9599-4DDC-B772-52E593AF5149}"/>
    <cellStyle name="Normal 9 2 2 2 2 2" xfId="518" xr:uid="{00000000-0005-0000-0000-0000A0030000}"/>
    <cellStyle name="Normal 9 2 2 2 2 2 10" xfId="1406" xr:uid="{50CD4C7B-00C2-41D7-A80D-8EA0A6154703}"/>
    <cellStyle name="Normal 9 2 2 2 2 2 2" xfId="990" xr:uid="{00000000-0005-0000-0000-0000A1030000}"/>
    <cellStyle name="Normal 9 2 2 2 2 2 2 2" xfId="5709" xr:uid="{8A916410-6796-4CC0-B36D-0370A22C5089}"/>
    <cellStyle name="Normal 9 2 2 2 2 2 2 2 2" xfId="9927" xr:uid="{8A0D08AF-5242-4A2C-9D28-BB795E3AE3CF}"/>
    <cellStyle name="Normal 9 2 2 2 2 2 2 3" xfId="7782" xr:uid="{3F280A94-DBF0-4FC4-B28B-1A162712E3BE}"/>
    <cellStyle name="Normal 9 2 2 2 2 2 2 4" xfId="3480" xr:uid="{DC1CD39A-38EB-4B1C-ACCF-EBC4B9E0B20E}"/>
    <cellStyle name="Normal 9 2 2 2 2 2 2 5" xfId="2651" xr:uid="{0B0D2749-BA90-4D3F-A941-B5A204E28B97}"/>
    <cellStyle name="Normal 9 2 2 2 2 2 2 6" xfId="1822" xr:uid="{797D4D91-C50F-4F28-B003-ED700FFBB818}"/>
    <cellStyle name="Normal 9 2 2 2 2 2 3" xfId="3893" xr:uid="{2FE485B1-BA27-4D88-9B61-49613120C3FC}"/>
    <cellStyle name="Normal 9 2 2 2 2 2 3 2" xfId="6122" xr:uid="{4821EFAD-3D97-414D-AB6D-1F4737CE716D}"/>
    <cellStyle name="Normal 9 2 2 2 2 2 3 2 2" xfId="10340" xr:uid="{07412EE5-7F49-43F4-8888-C49941F81811}"/>
    <cellStyle name="Normal 9 2 2 2 2 2 3 3" xfId="8195" xr:uid="{FA57A68C-264E-4706-8B3B-02ABDCE74E89}"/>
    <cellStyle name="Normal 9 2 2 2 2 2 4" xfId="4306" xr:uid="{03943034-AEA9-4DCF-B9AA-5779AE1C9551}"/>
    <cellStyle name="Normal 9 2 2 2 2 2 4 2" xfId="6535" xr:uid="{FC5513E4-3561-44EE-BB42-1B0FA625E09A}"/>
    <cellStyle name="Normal 9 2 2 2 2 2 4 2 2" xfId="10753" xr:uid="{866323DF-7D83-42F9-8CC6-E20CC0AC156F}"/>
    <cellStyle name="Normal 9 2 2 2 2 2 4 3" xfId="8608" xr:uid="{A30C5847-47D2-40D9-AF73-20BEF1F055D1}"/>
    <cellStyle name="Normal 9 2 2 2 2 2 5" xfId="4719" xr:uid="{19FBECEF-53B6-45C0-8B99-3936194D87DB}"/>
    <cellStyle name="Normal 9 2 2 2 2 2 5 2" xfId="6948" xr:uid="{CFBDC8B1-A158-4881-9941-FD60B89DCF0A}"/>
    <cellStyle name="Normal 9 2 2 2 2 2 5 2 2" xfId="11166" xr:uid="{90BF3B0D-0EE9-4182-9812-A5E926B685E5}"/>
    <cellStyle name="Normal 9 2 2 2 2 2 5 3" xfId="9021" xr:uid="{647187FB-A770-49A6-852A-F4664E3120DA}"/>
    <cellStyle name="Normal 9 2 2 2 2 2 6" xfId="5155" xr:uid="{554157BF-313A-4606-B97E-815BAA932E68}"/>
    <cellStyle name="Normal 9 2 2 2 2 2 6 2" xfId="9434" xr:uid="{9ED9124A-B739-4DD8-9193-D28F613635F0}"/>
    <cellStyle name="Normal 9 2 2 2 2 2 7" xfId="7369" xr:uid="{0C7251D6-97D6-4764-8086-E8D483C1355B}"/>
    <cellStyle name="Normal 9 2 2 2 2 2 8" xfId="3065" xr:uid="{F0006C8F-E0BB-4288-870A-FE4243465379}"/>
    <cellStyle name="Normal 9 2 2 2 2 2 9" xfId="2235" xr:uid="{1D2B2FCF-C6F2-475E-B435-1B1E36BE2110}"/>
    <cellStyle name="Normal 9 2 2 2 2 3" xfId="989" xr:uid="{00000000-0005-0000-0000-0000A2030000}"/>
    <cellStyle name="Normal 9 2 2 2 2 3 2" xfId="5708" xr:uid="{841CA1D2-C0CD-4F55-84D4-D0EE5CB1FB17}"/>
    <cellStyle name="Normal 9 2 2 2 2 3 2 2" xfId="9926" xr:uid="{AC641BEE-C7EB-4A3B-BDD9-66B981E71D54}"/>
    <cellStyle name="Normal 9 2 2 2 2 3 3" xfId="7781" xr:uid="{D8ABE110-EA9C-4B93-B6ED-C7AD64D336AB}"/>
    <cellStyle name="Normal 9 2 2 2 2 3 4" xfId="3479" xr:uid="{AEED69A4-96E9-42C0-891F-079C5B45F25D}"/>
    <cellStyle name="Normal 9 2 2 2 2 3 5" xfId="2650" xr:uid="{B66ACC58-BBC2-489F-BE7D-A6602695E93B}"/>
    <cellStyle name="Normal 9 2 2 2 2 3 6" xfId="1821" xr:uid="{8F29A86C-3036-4F2C-A379-0593C7F79A0B}"/>
    <cellStyle name="Normal 9 2 2 2 2 4" xfId="3892" xr:uid="{BAF1F23A-0CF8-4A83-B53F-62D5BBEC3FCE}"/>
    <cellStyle name="Normal 9 2 2 2 2 4 2" xfId="6121" xr:uid="{FD996745-BAD9-4284-93E8-C20E380BEFAC}"/>
    <cellStyle name="Normal 9 2 2 2 2 4 2 2" xfId="10339" xr:uid="{5CF35AEF-8068-4350-B792-EEDB283E2516}"/>
    <cellStyle name="Normal 9 2 2 2 2 4 3" xfId="8194" xr:uid="{79241B9F-BEFC-4517-BBE8-224B55B1F150}"/>
    <cellStyle name="Normal 9 2 2 2 2 5" xfId="4305" xr:uid="{C2AE370B-478C-4ED6-A8FA-0CC8230B89CF}"/>
    <cellStyle name="Normal 9 2 2 2 2 5 2" xfId="6534" xr:uid="{97F8EBD7-3294-4FCB-B2EA-94B52E823E5C}"/>
    <cellStyle name="Normal 9 2 2 2 2 5 2 2" xfId="10752" xr:uid="{3F958B6C-6C80-406D-8721-CC2E65F72E59}"/>
    <cellStyle name="Normal 9 2 2 2 2 5 3" xfId="8607" xr:uid="{9FB88960-23B3-46B4-A438-DC2CEB5AA2E3}"/>
    <cellStyle name="Normal 9 2 2 2 2 6" xfId="4718" xr:uid="{AEC98D10-0D87-4895-A4D1-BDAADA2ACF62}"/>
    <cellStyle name="Normal 9 2 2 2 2 6 2" xfId="6947" xr:uid="{891E2293-0A3D-413F-A1AF-B7580EB5CC45}"/>
    <cellStyle name="Normal 9 2 2 2 2 6 2 2" xfId="11165" xr:uid="{2332D72E-7DC4-40E8-824D-9A699627F672}"/>
    <cellStyle name="Normal 9 2 2 2 2 6 3" xfId="9020" xr:uid="{10C1F269-FDE7-41AE-A8D7-66E3D4F02725}"/>
    <cellStyle name="Normal 9 2 2 2 2 7" xfId="5154" xr:uid="{0EF3FFBC-F67A-4469-B433-73DE2391FE13}"/>
    <cellStyle name="Normal 9 2 2 2 2 7 2" xfId="9433" xr:uid="{01DAF614-9C6B-42CA-BAB5-293FDC9F1D68}"/>
    <cellStyle name="Normal 9 2 2 2 2 8" xfId="7368" xr:uid="{2D3A5BC5-FC9A-401B-A935-7E07966C606E}"/>
    <cellStyle name="Normal 9 2 2 2 2 9" xfId="3064" xr:uid="{7C7F9A73-C694-4AA9-AA68-033DD828CA4E}"/>
    <cellStyle name="Normal 9 2 2 2 3" xfId="519" xr:uid="{00000000-0005-0000-0000-0000A3030000}"/>
    <cellStyle name="Normal 9 2 2 2 3 10" xfId="1407" xr:uid="{F75A9281-5DE0-4B24-877C-55F2A5C9140D}"/>
    <cellStyle name="Normal 9 2 2 2 3 2" xfId="991" xr:uid="{00000000-0005-0000-0000-0000A4030000}"/>
    <cellStyle name="Normal 9 2 2 2 3 2 2" xfId="5710" xr:uid="{370EB997-BED7-4BD9-81B8-4346C525A43D}"/>
    <cellStyle name="Normal 9 2 2 2 3 2 2 2" xfId="9928" xr:uid="{4EC96D65-D480-4941-9E21-71F8FA7E5639}"/>
    <cellStyle name="Normal 9 2 2 2 3 2 3" xfId="7783" xr:uid="{4B52A725-B09D-49AC-8B33-3312653F4B2F}"/>
    <cellStyle name="Normal 9 2 2 2 3 2 4" xfId="3481" xr:uid="{12A201EB-78BA-49B0-909A-E27D79902C88}"/>
    <cellStyle name="Normal 9 2 2 2 3 2 5" xfId="2652" xr:uid="{26F1544E-79C3-4F46-BDDE-F6BF014EEB35}"/>
    <cellStyle name="Normal 9 2 2 2 3 2 6" xfId="1823" xr:uid="{15464AA9-F73A-4582-AAA5-5CC9C1ED1004}"/>
    <cellStyle name="Normal 9 2 2 2 3 3" xfId="3894" xr:uid="{42DB46EC-7336-4E77-ADEC-FB16919C6473}"/>
    <cellStyle name="Normal 9 2 2 2 3 3 2" xfId="6123" xr:uid="{A5EE3197-6D85-4D51-BEF0-B18B43404288}"/>
    <cellStyle name="Normal 9 2 2 2 3 3 2 2" xfId="10341" xr:uid="{08D10701-B76A-42FB-B3E8-0943035C9EC3}"/>
    <cellStyle name="Normal 9 2 2 2 3 3 3" xfId="8196" xr:uid="{43558291-4C92-4A4D-8D76-080E067693F7}"/>
    <cellStyle name="Normal 9 2 2 2 3 4" xfId="4307" xr:uid="{C1301A7C-1699-4291-AFF8-2035A0F6546B}"/>
    <cellStyle name="Normal 9 2 2 2 3 4 2" xfId="6536" xr:uid="{B35D8F27-1D90-4160-A07A-EC24A3184120}"/>
    <cellStyle name="Normal 9 2 2 2 3 4 2 2" xfId="10754" xr:uid="{D07B58A2-0E35-415A-9739-9D07A3AC8171}"/>
    <cellStyle name="Normal 9 2 2 2 3 4 3" xfId="8609" xr:uid="{7A9883CA-7115-47B3-BED7-2BAE8452A763}"/>
    <cellStyle name="Normal 9 2 2 2 3 5" xfId="4720" xr:uid="{F9E32ED5-B6E2-4C91-972A-7E0F140000FD}"/>
    <cellStyle name="Normal 9 2 2 2 3 5 2" xfId="6949" xr:uid="{2F43183E-A970-470D-AB5F-A52EAC324802}"/>
    <cellStyle name="Normal 9 2 2 2 3 5 2 2" xfId="11167" xr:uid="{BC1B1BEB-D340-4B36-A763-B90779F727C8}"/>
    <cellStyle name="Normal 9 2 2 2 3 5 3" xfId="9022" xr:uid="{E75D919F-EB49-4F0A-BC1A-81AF5E55469C}"/>
    <cellStyle name="Normal 9 2 2 2 3 6" xfId="5156" xr:uid="{73129658-3AB6-4046-AC5A-26FB35BF310C}"/>
    <cellStyle name="Normal 9 2 2 2 3 6 2" xfId="9435" xr:uid="{6C6E76CB-53A9-42E3-BC3B-15D5B74F7462}"/>
    <cellStyle name="Normal 9 2 2 2 3 7" xfId="7370" xr:uid="{F5A4E772-EF5F-4EE7-A266-C2F79CC10827}"/>
    <cellStyle name="Normal 9 2 2 2 3 8" xfId="3066" xr:uid="{119F64BB-3475-459E-9ABE-6EDA50446F92}"/>
    <cellStyle name="Normal 9 2 2 2 3 9" xfId="2236" xr:uid="{E9F241F5-FBC6-4A96-9903-015BBF091996}"/>
    <cellStyle name="Normal 9 2 2 2 4" xfId="988" xr:uid="{00000000-0005-0000-0000-0000A5030000}"/>
    <cellStyle name="Normal 9 2 2 2 4 2" xfId="5707" xr:uid="{17DB3340-80CC-4193-8969-5FEFEC7556E6}"/>
    <cellStyle name="Normal 9 2 2 2 4 2 2" xfId="9925" xr:uid="{C1D61EF6-CF56-482F-92E3-D25077A0659B}"/>
    <cellStyle name="Normal 9 2 2 2 4 3" xfId="7780" xr:uid="{1614E1C6-B6C0-4086-A4D6-51A4A393919E}"/>
    <cellStyle name="Normal 9 2 2 2 4 4" xfId="3478" xr:uid="{6E8607BA-75A9-4FB0-82FC-46179A8F59B7}"/>
    <cellStyle name="Normal 9 2 2 2 4 5" xfId="2649" xr:uid="{9CB2B54D-03E7-4465-B998-A6560C25889D}"/>
    <cellStyle name="Normal 9 2 2 2 4 6" xfId="1820" xr:uid="{5952081C-8C56-4798-8841-F5BE991FEEDB}"/>
    <cellStyle name="Normal 9 2 2 2 5" xfId="3891" xr:uid="{3DF0BC21-78DE-4005-9091-BA07EE611239}"/>
    <cellStyle name="Normal 9 2 2 2 5 2" xfId="6120" xr:uid="{5E75EEEF-098F-4EA8-9E0B-0BD7FAD3DF31}"/>
    <cellStyle name="Normal 9 2 2 2 5 2 2" xfId="10338" xr:uid="{61B62B77-02B6-47C3-A0E0-4E8EF356A836}"/>
    <cellStyle name="Normal 9 2 2 2 5 3" xfId="8193" xr:uid="{133F241C-F9C1-474F-9D07-CAFA94E05AFD}"/>
    <cellStyle name="Normal 9 2 2 2 6" xfId="4304" xr:uid="{140B8DC5-8B70-495E-9A1A-0076E27C31E1}"/>
    <cellStyle name="Normal 9 2 2 2 6 2" xfId="6533" xr:uid="{FBB70D3C-E4A9-4A83-97BC-345E58748F94}"/>
    <cellStyle name="Normal 9 2 2 2 6 2 2" xfId="10751" xr:uid="{7607B1DE-14F6-4A84-9620-0ED10B102849}"/>
    <cellStyle name="Normal 9 2 2 2 6 3" xfId="8606" xr:uid="{B566FDDF-67EF-42B5-8E56-53A155D6512C}"/>
    <cellStyle name="Normal 9 2 2 2 7" xfId="4717" xr:uid="{F5F49E3F-D9BC-45B9-AD4A-697754806C96}"/>
    <cellStyle name="Normal 9 2 2 2 7 2" xfId="6946" xr:uid="{3E4F524C-4D79-47A9-BF93-52E185036E94}"/>
    <cellStyle name="Normal 9 2 2 2 7 2 2" xfId="11164" xr:uid="{0B15D500-EBBF-48A7-B637-58954013C5DD}"/>
    <cellStyle name="Normal 9 2 2 2 7 3" xfId="9019" xr:uid="{F5868370-C2D8-4AF0-A9D8-D18D1AEABF17}"/>
    <cellStyle name="Normal 9 2 2 2 8" xfId="5153" xr:uid="{7FF4A19A-D7CC-4E16-A0AF-7C6A724D5AF7}"/>
    <cellStyle name="Normal 9 2 2 2 8 2" xfId="9432" xr:uid="{59754651-E86A-4CB9-8918-4072A2606FF6}"/>
    <cellStyle name="Normal 9 2 2 2 9" xfId="7367" xr:uid="{7A169C01-66E4-434B-A464-E4C57E7278F7}"/>
    <cellStyle name="Normal 9 2 2 3" xfId="520" xr:uid="{00000000-0005-0000-0000-0000A6030000}"/>
    <cellStyle name="Normal 9 2 2 3 10" xfId="2237" xr:uid="{2C42FF2E-7EED-4DE3-9768-21D4296D3D86}"/>
    <cellStyle name="Normal 9 2 2 3 11" xfId="1408" xr:uid="{C6E172B7-ADAE-4927-8F1E-6ABE6B659A41}"/>
    <cellStyle name="Normal 9 2 2 3 2" xfId="521" xr:uid="{00000000-0005-0000-0000-0000A7030000}"/>
    <cellStyle name="Normal 9 2 2 3 2 10" xfId="1409" xr:uid="{963D26D5-3E2B-426D-9B11-24DC48450B81}"/>
    <cellStyle name="Normal 9 2 2 3 2 2" xfId="993" xr:uid="{00000000-0005-0000-0000-0000A8030000}"/>
    <cellStyle name="Normal 9 2 2 3 2 2 2" xfId="5712" xr:uid="{DD041D88-F692-4949-9BE1-F874556D3008}"/>
    <cellStyle name="Normal 9 2 2 3 2 2 2 2" xfId="9930" xr:uid="{828B32ED-AB41-4A07-84B3-AFF78B4B86EC}"/>
    <cellStyle name="Normal 9 2 2 3 2 2 3" xfId="7785" xr:uid="{912FC45F-1DD6-4832-8102-41591CE5BC20}"/>
    <cellStyle name="Normal 9 2 2 3 2 2 4" xfId="3483" xr:uid="{7BFE73AD-14E9-4440-9D65-62520AA6C455}"/>
    <cellStyle name="Normal 9 2 2 3 2 2 5" xfId="2654" xr:uid="{BC1A2AF5-9D08-42FC-8D2D-4DC5976F4BB1}"/>
    <cellStyle name="Normal 9 2 2 3 2 2 6" xfId="1825" xr:uid="{E4E53E75-6FF7-40C0-B788-B6AF08FC4AD0}"/>
    <cellStyle name="Normal 9 2 2 3 2 3" xfId="3896" xr:uid="{8C2A2AF0-21A4-4E2B-B691-859567109FC9}"/>
    <cellStyle name="Normal 9 2 2 3 2 3 2" xfId="6125" xr:uid="{9782CF65-761C-4A83-B86A-C9A4F720B12D}"/>
    <cellStyle name="Normal 9 2 2 3 2 3 2 2" xfId="10343" xr:uid="{DC190040-2D54-4B29-83DA-E1D8FC7D04F5}"/>
    <cellStyle name="Normal 9 2 2 3 2 3 3" xfId="8198" xr:uid="{42CC6799-E3DC-4582-82AE-B9B7897F60F5}"/>
    <cellStyle name="Normal 9 2 2 3 2 4" xfId="4309" xr:uid="{4C0DA73B-09B7-4604-AA76-1EB8301A916E}"/>
    <cellStyle name="Normal 9 2 2 3 2 4 2" xfId="6538" xr:uid="{AEF296B2-3CDD-4435-BF7B-7971871B58F8}"/>
    <cellStyle name="Normal 9 2 2 3 2 4 2 2" xfId="10756" xr:uid="{B8261510-38C2-4215-8C5F-250ABC9911E4}"/>
    <cellStyle name="Normal 9 2 2 3 2 4 3" xfId="8611" xr:uid="{9F631E5B-477B-47F9-AC85-75A75502B046}"/>
    <cellStyle name="Normal 9 2 2 3 2 5" xfId="4722" xr:uid="{77824BBD-8B46-4441-8046-963E7B2F345B}"/>
    <cellStyle name="Normal 9 2 2 3 2 5 2" xfId="6951" xr:uid="{04D48F63-74FD-4890-BD1B-46A68099D4D3}"/>
    <cellStyle name="Normal 9 2 2 3 2 5 2 2" xfId="11169" xr:uid="{9F50CA4B-212F-42D0-9F12-E735B0DA399E}"/>
    <cellStyle name="Normal 9 2 2 3 2 5 3" xfId="9024" xr:uid="{55173A96-9667-446A-B56D-B27D6EFF9C88}"/>
    <cellStyle name="Normal 9 2 2 3 2 6" xfId="5158" xr:uid="{B4D8DB0B-C065-41C9-8296-CF9D7B374041}"/>
    <cellStyle name="Normal 9 2 2 3 2 6 2" xfId="9437" xr:uid="{5E42BC09-F4A3-42B6-B5A7-E15225D956E8}"/>
    <cellStyle name="Normal 9 2 2 3 2 7" xfId="7372" xr:uid="{B9F9DD6A-CCB4-4B77-A7B2-8C800B6D509D}"/>
    <cellStyle name="Normal 9 2 2 3 2 8" xfId="3068" xr:uid="{1A8C5EE7-C96F-49D3-91E2-A4632C945E0D}"/>
    <cellStyle name="Normal 9 2 2 3 2 9" xfId="2238" xr:uid="{AD08569B-46CA-4309-B229-492213B5ED4B}"/>
    <cellStyle name="Normal 9 2 2 3 3" xfId="992" xr:uid="{00000000-0005-0000-0000-0000A9030000}"/>
    <cellStyle name="Normal 9 2 2 3 3 2" xfId="5711" xr:uid="{F65F96AB-98CE-4983-B296-74952C1D8854}"/>
    <cellStyle name="Normal 9 2 2 3 3 2 2" xfId="9929" xr:uid="{65791FC1-34BC-4F48-9EFD-046876CE4F1E}"/>
    <cellStyle name="Normal 9 2 2 3 3 3" xfId="7784" xr:uid="{6FBDF12B-EC98-48D8-99FC-AA307E460F59}"/>
    <cellStyle name="Normal 9 2 2 3 3 4" xfId="3482" xr:uid="{30B4ECCA-C6D1-41C1-A58F-75E155E88AB0}"/>
    <cellStyle name="Normal 9 2 2 3 3 5" xfId="2653" xr:uid="{30D5A982-E0E6-4BD9-BFAD-6E390CEFF733}"/>
    <cellStyle name="Normal 9 2 2 3 3 6" xfId="1824" xr:uid="{3B4B1A96-BDEF-408F-913D-3E76CD37E059}"/>
    <cellStyle name="Normal 9 2 2 3 4" xfId="3895" xr:uid="{BE2C41A0-2FD1-4EB7-841F-595185E00AB3}"/>
    <cellStyle name="Normal 9 2 2 3 4 2" xfId="6124" xr:uid="{2E4DCA29-1DD6-4F67-994E-7EE27492ED5D}"/>
    <cellStyle name="Normal 9 2 2 3 4 2 2" xfId="10342" xr:uid="{BBABCC75-7F90-410A-919F-C32D34351FBD}"/>
    <cellStyle name="Normal 9 2 2 3 4 3" xfId="8197" xr:uid="{3C874D48-A487-4DE1-ABEC-996E40A6B5AF}"/>
    <cellStyle name="Normal 9 2 2 3 5" xfId="4308" xr:uid="{E10D3B67-5CDF-42CF-979F-CC812CE2B1B8}"/>
    <cellStyle name="Normal 9 2 2 3 5 2" xfId="6537" xr:uid="{4021BBBB-3E55-49E1-B40C-F54ABA4DA902}"/>
    <cellStyle name="Normal 9 2 2 3 5 2 2" xfId="10755" xr:uid="{6CD94421-5915-4F0B-A830-815BF9BDFE1E}"/>
    <cellStyle name="Normal 9 2 2 3 5 3" xfId="8610" xr:uid="{257CDF21-909D-4BCD-B4CE-C0AAB6488FA7}"/>
    <cellStyle name="Normal 9 2 2 3 6" xfId="4721" xr:uid="{6B6E625E-AEDA-42DC-981D-F8D304A08806}"/>
    <cellStyle name="Normal 9 2 2 3 6 2" xfId="6950" xr:uid="{C836F306-0DA8-4657-AE83-81A95FB894D7}"/>
    <cellStyle name="Normal 9 2 2 3 6 2 2" xfId="11168" xr:uid="{D69E97D4-E499-4C16-AD74-710CC180D1D9}"/>
    <cellStyle name="Normal 9 2 2 3 6 3" xfId="9023" xr:uid="{9C45515C-94EC-4008-A219-780F6E1DF882}"/>
    <cellStyle name="Normal 9 2 2 3 7" xfId="5157" xr:uid="{A57431B2-BA8D-4F9C-8BF3-CF2ADBA48884}"/>
    <cellStyle name="Normal 9 2 2 3 7 2" xfId="9436" xr:uid="{E24813AB-15AD-4A3C-9F18-EBB236EB3DC3}"/>
    <cellStyle name="Normal 9 2 2 3 8" xfId="7371" xr:uid="{AEFB4F3C-38B6-4B9C-92CD-EAB76539BBF7}"/>
    <cellStyle name="Normal 9 2 2 3 9" xfId="3067" xr:uid="{96C98D1E-BD8D-48FB-B438-793CCA3B6397}"/>
    <cellStyle name="Normal 9 2 2 4" xfId="522" xr:uid="{00000000-0005-0000-0000-0000AA030000}"/>
    <cellStyle name="Normal 9 2 2 4 10" xfId="1410" xr:uid="{21DB44D9-B16D-432B-88E8-5AEA46A7D2ED}"/>
    <cellStyle name="Normal 9 2 2 4 2" xfId="994" xr:uid="{00000000-0005-0000-0000-0000AB030000}"/>
    <cellStyle name="Normal 9 2 2 4 2 2" xfId="5713" xr:uid="{3B3BC11C-E48C-4656-9E4D-B39757B6D570}"/>
    <cellStyle name="Normal 9 2 2 4 2 2 2" xfId="9931" xr:uid="{DC08EB3F-CFBB-4527-A638-0341002B14B0}"/>
    <cellStyle name="Normal 9 2 2 4 2 3" xfId="7786" xr:uid="{FCDEC929-3B97-4FE4-A709-F627128605D0}"/>
    <cellStyle name="Normal 9 2 2 4 2 4" xfId="3484" xr:uid="{045FFF01-4F69-4C61-9B9F-629614320678}"/>
    <cellStyle name="Normal 9 2 2 4 2 5" xfId="2655" xr:uid="{1AAD2B6D-4E7C-490A-B528-2F0812AB10D0}"/>
    <cellStyle name="Normal 9 2 2 4 2 6" xfId="1826" xr:uid="{0112FF86-4EC3-45DC-8EC6-052DB0794CDD}"/>
    <cellStyle name="Normal 9 2 2 4 3" xfId="3897" xr:uid="{BE5E50F7-CCFA-4878-AFA5-D83BB62C3C26}"/>
    <cellStyle name="Normal 9 2 2 4 3 2" xfId="6126" xr:uid="{3F15D300-02FC-4028-9203-C0DCAE5B9219}"/>
    <cellStyle name="Normal 9 2 2 4 3 2 2" xfId="10344" xr:uid="{06E88470-9CF9-4F82-A22D-7EA9C51FB402}"/>
    <cellStyle name="Normal 9 2 2 4 3 3" xfId="8199" xr:uid="{E5E3DDF9-9F29-4E99-83F8-DE2BBA52C0E5}"/>
    <cellStyle name="Normal 9 2 2 4 4" xfId="4310" xr:uid="{7448DD52-3D43-4E7B-AE04-3376D93E7D3F}"/>
    <cellStyle name="Normal 9 2 2 4 4 2" xfId="6539" xr:uid="{8E15721B-0B69-4CF8-85E8-C8576491AFBD}"/>
    <cellStyle name="Normal 9 2 2 4 4 2 2" xfId="10757" xr:uid="{2CF16009-7CC5-4FD8-8774-4EB8AC8786D2}"/>
    <cellStyle name="Normal 9 2 2 4 4 3" xfId="8612" xr:uid="{1DADF46B-DC40-4FC0-90F1-F788C2227EEA}"/>
    <cellStyle name="Normal 9 2 2 4 5" xfId="4723" xr:uid="{264F20B8-5832-49FE-ACBA-43D88D5845E1}"/>
    <cellStyle name="Normal 9 2 2 4 5 2" xfId="6952" xr:uid="{551DDA1B-D781-4F32-87B8-319E6358DAD2}"/>
    <cellStyle name="Normal 9 2 2 4 5 2 2" xfId="11170" xr:uid="{DC3B647F-596C-42D7-8579-B76C230622A5}"/>
    <cellStyle name="Normal 9 2 2 4 5 3" xfId="9025" xr:uid="{610025D5-5885-4784-A4F8-D29A467D4AC9}"/>
    <cellStyle name="Normal 9 2 2 4 6" xfId="5159" xr:uid="{B11ABE43-7565-46BE-8803-0A30DA818DC0}"/>
    <cellStyle name="Normal 9 2 2 4 6 2" xfId="9438" xr:uid="{4B17EB7F-D3D5-4DF4-B13E-5087E1B4CC4C}"/>
    <cellStyle name="Normal 9 2 2 4 7" xfId="7373" xr:uid="{90998FE7-52DA-4108-96C7-76B55EEA9F1D}"/>
    <cellStyle name="Normal 9 2 2 4 8" xfId="3069" xr:uid="{08CD5C25-2A0A-4159-AD58-ED776905A971}"/>
    <cellStyle name="Normal 9 2 2 4 9" xfId="2239" xr:uid="{6223E482-7E18-437B-9DB2-695BCB9B4712}"/>
    <cellStyle name="Normal 9 2 2 5" xfId="987" xr:uid="{00000000-0005-0000-0000-0000AC030000}"/>
    <cellStyle name="Normal 9 2 2 5 2" xfId="5706" xr:uid="{4D068957-744F-4989-8F14-78A91D99A71C}"/>
    <cellStyle name="Normal 9 2 2 5 2 2" xfId="9924" xr:uid="{D7E5B012-B1DA-491E-93CA-898F0F43629F}"/>
    <cellStyle name="Normal 9 2 2 5 3" xfId="7779" xr:uid="{88BDD31A-087E-481D-8DF8-F58642C26400}"/>
    <cellStyle name="Normal 9 2 2 5 4" xfId="3477" xr:uid="{4A764515-2270-41DB-844F-1DFD1F6B462B}"/>
    <cellStyle name="Normal 9 2 2 5 5" xfId="2648" xr:uid="{9D134417-C7AF-4D42-BFC4-47A1D815D248}"/>
    <cellStyle name="Normal 9 2 2 5 6" xfId="1819" xr:uid="{C1580279-6BD4-4378-BDEC-295725324701}"/>
    <cellStyle name="Normal 9 2 2 6" xfId="3890" xr:uid="{1BE12865-476A-49A1-8AA7-457A4DEBD54C}"/>
    <cellStyle name="Normal 9 2 2 6 2" xfId="6119" xr:uid="{3C4FF891-6369-4B09-AF48-F3751C058A62}"/>
    <cellStyle name="Normal 9 2 2 6 2 2" xfId="10337" xr:uid="{E4D21325-6FED-41D0-AC9F-07AC2BE852C9}"/>
    <cellStyle name="Normal 9 2 2 6 3" xfId="8192" xr:uid="{CA35DEFA-DE8C-4BC3-A099-6F27F2797E05}"/>
    <cellStyle name="Normal 9 2 2 7" xfId="4303" xr:uid="{46FFE709-5D60-48C9-849B-17A0D4B51028}"/>
    <cellStyle name="Normal 9 2 2 7 2" xfId="6532" xr:uid="{2889245A-CD54-4875-8C03-84DA9FDBD39D}"/>
    <cellStyle name="Normal 9 2 2 7 2 2" xfId="10750" xr:uid="{EDAA4B3C-345B-43B3-8273-157922F581F1}"/>
    <cellStyle name="Normal 9 2 2 7 3" xfId="8605" xr:uid="{5742A25D-69AD-445E-9EEF-A3651228FDEF}"/>
    <cellStyle name="Normal 9 2 2 8" xfId="4716" xr:uid="{3EEF0A87-790D-4E1D-A0BB-6C2EDF2F7945}"/>
    <cellStyle name="Normal 9 2 2 8 2" xfId="6945" xr:uid="{698D75F5-33D9-420B-9D3E-AA15B9773AE7}"/>
    <cellStyle name="Normal 9 2 2 8 2 2" xfId="11163" xr:uid="{555E67E3-E2F5-404D-94E6-FCCD55AF9C49}"/>
    <cellStyle name="Normal 9 2 2 8 3" xfId="9018" xr:uid="{BABF1123-CE2F-4D87-A6C9-FB0046C42AE6}"/>
    <cellStyle name="Normal 9 2 2 9" xfId="5152" xr:uid="{C37B9BE1-899F-430E-8D90-9BB3EBF33EDE}"/>
    <cellStyle name="Normal 9 2 2 9 2" xfId="9431" xr:uid="{A8D6379E-841C-4F73-9E7A-2D288180F58B}"/>
    <cellStyle name="Normal 9 2 3" xfId="523" xr:uid="{00000000-0005-0000-0000-0000AD030000}"/>
    <cellStyle name="Normal 9 2 3 10" xfId="3070" xr:uid="{26FAE7D5-058F-4D3F-BB7D-84780F742387}"/>
    <cellStyle name="Normal 9 2 3 11" xfId="2240" xr:uid="{5927D240-2BBB-4D94-A92F-9724197A83C7}"/>
    <cellStyle name="Normal 9 2 3 12" xfId="1411" xr:uid="{3E448DE4-1F02-4C26-9EA5-E9C34A743B00}"/>
    <cellStyle name="Normal 9 2 3 2" xfId="524" xr:uid="{00000000-0005-0000-0000-0000AE030000}"/>
    <cellStyle name="Normal 9 2 3 2 10" xfId="2241" xr:uid="{5726AA2A-8E5C-4937-8A20-C2E866A15251}"/>
    <cellStyle name="Normal 9 2 3 2 11" xfId="1412" xr:uid="{43D97ADC-DBF6-4283-80DC-F53777D08F09}"/>
    <cellStyle name="Normal 9 2 3 2 2" xfId="525" xr:uid="{00000000-0005-0000-0000-0000AF030000}"/>
    <cellStyle name="Normal 9 2 3 2 2 10" xfId="1413" xr:uid="{782C39AE-B507-4256-BD9B-78C0FB67260F}"/>
    <cellStyle name="Normal 9 2 3 2 2 2" xfId="997" xr:uid="{00000000-0005-0000-0000-0000B0030000}"/>
    <cellStyle name="Normal 9 2 3 2 2 2 2" xfId="5716" xr:uid="{FF48AEE7-A055-4684-AEB3-04760CA803D1}"/>
    <cellStyle name="Normal 9 2 3 2 2 2 2 2" xfId="9934" xr:uid="{C350883F-D273-4C4E-962F-3EE23F9E52BB}"/>
    <cellStyle name="Normal 9 2 3 2 2 2 3" xfId="7789" xr:uid="{E2BFA4CD-044B-4C81-8F6E-C0CF8CAAF30C}"/>
    <cellStyle name="Normal 9 2 3 2 2 2 4" xfId="3487" xr:uid="{B9A5E035-BEC6-4016-B31B-69C791EB66E1}"/>
    <cellStyle name="Normal 9 2 3 2 2 2 5" xfId="2658" xr:uid="{A1CC9B32-5669-40FF-AD94-D3F5652AFFA5}"/>
    <cellStyle name="Normal 9 2 3 2 2 2 6" xfId="1829" xr:uid="{EB4D806D-3188-4865-8E66-7052846C9ADF}"/>
    <cellStyle name="Normal 9 2 3 2 2 3" xfId="3900" xr:uid="{446738FF-E6C5-4418-811E-F4FB5775C291}"/>
    <cellStyle name="Normal 9 2 3 2 2 3 2" xfId="6129" xr:uid="{C9B8360F-55CF-4C6F-81E3-0216AFE4B627}"/>
    <cellStyle name="Normal 9 2 3 2 2 3 2 2" xfId="10347" xr:uid="{5243B1AF-65FE-437C-AEB1-3D1CB19B88D6}"/>
    <cellStyle name="Normal 9 2 3 2 2 3 3" xfId="8202" xr:uid="{01B612B0-1084-4133-9B7D-8665F6154964}"/>
    <cellStyle name="Normal 9 2 3 2 2 4" xfId="4313" xr:uid="{54FD606E-73B5-4D5F-83CF-348362A3CC89}"/>
    <cellStyle name="Normal 9 2 3 2 2 4 2" xfId="6542" xr:uid="{3C2B6283-67C8-49CC-9B0A-0C40FC2209EB}"/>
    <cellStyle name="Normal 9 2 3 2 2 4 2 2" xfId="10760" xr:uid="{52D961B9-A0BF-497E-91D0-9DF426E0677B}"/>
    <cellStyle name="Normal 9 2 3 2 2 4 3" xfId="8615" xr:uid="{8338F0BF-0750-4C84-A304-D0C838C41BF4}"/>
    <cellStyle name="Normal 9 2 3 2 2 5" xfId="4726" xr:uid="{F777D17D-BBD1-4ED3-8BBD-E4DA58C87BAC}"/>
    <cellStyle name="Normal 9 2 3 2 2 5 2" xfId="6955" xr:uid="{6AB27DC8-818B-43BE-B426-F858C8E5D28F}"/>
    <cellStyle name="Normal 9 2 3 2 2 5 2 2" xfId="11173" xr:uid="{3785BEB5-0507-483D-A092-B14DF2DB9F0A}"/>
    <cellStyle name="Normal 9 2 3 2 2 5 3" xfId="9028" xr:uid="{A218686B-8F8F-4011-9602-5C36EBB3A618}"/>
    <cellStyle name="Normal 9 2 3 2 2 6" xfId="5162" xr:uid="{5E683E1A-E71A-4C6B-81E6-92F2FFC3062B}"/>
    <cellStyle name="Normal 9 2 3 2 2 6 2" xfId="9441" xr:uid="{649D02CD-4E74-4E40-BED4-00752986E00A}"/>
    <cellStyle name="Normal 9 2 3 2 2 7" xfId="7376" xr:uid="{45782BC6-A4CB-44C1-99A1-9E65B919B4A5}"/>
    <cellStyle name="Normal 9 2 3 2 2 8" xfId="3072" xr:uid="{7885ECD4-237F-4CDA-9510-0ED20B910DA7}"/>
    <cellStyle name="Normal 9 2 3 2 2 9" xfId="2242" xr:uid="{81C22D1A-C54C-44BD-95D3-E380320547FC}"/>
    <cellStyle name="Normal 9 2 3 2 3" xfId="996" xr:uid="{00000000-0005-0000-0000-0000B1030000}"/>
    <cellStyle name="Normal 9 2 3 2 3 2" xfId="5715" xr:uid="{2433BAEA-7DE7-4101-B05E-C0E7B7F6B8E4}"/>
    <cellStyle name="Normal 9 2 3 2 3 2 2" xfId="9933" xr:uid="{EBB37E11-A324-4967-9EBB-A72E4243A848}"/>
    <cellStyle name="Normal 9 2 3 2 3 3" xfId="7788" xr:uid="{7CB4B6BC-C819-4533-B72A-D0190DBE38C1}"/>
    <cellStyle name="Normal 9 2 3 2 3 4" xfId="3486" xr:uid="{01CB16B7-C078-4A6B-A221-B6045348AB14}"/>
    <cellStyle name="Normal 9 2 3 2 3 5" xfId="2657" xr:uid="{681C99EA-F4E4-4914-A2F5-113FCDBF642A}"/>
    <cellStyle name="Normal 9 2 3 2 3 6" xfId="1828" xr:uid="{0AE0CD9E-6505-470D-B332-27CC486E59B9}"/>
    <cellStyle name="Normal 9 2 3 2 4" xfId="3899" xr:uid="{F10600C6-506B-4F28-B862-9AFB02053200}"/>
    <cellStyle name="Normal 9 2 3 2 4 2" xfId="6128" xr:uid="{B24EF9C7-CD0B-41C1-AD6A-6D90B32A23EC}"/>
    <cellStyle name="Normal 9 2 3 2 4 2 2" xfId="10346" xr:uid="{D8A0A341-E34C-4C85-B8BF-0D8FB4500668}"/>
    <cellStyle name="Normal 9 2 3 2 4 3" xfId="8201" xr:uid="{06B4F8D5-4B43-48F1-AF24-4B7DDF7759D0}"/>
    <cellStyle name="Normal 9 2 3 2 5" xfId="4312" xr:uid="{C029BE32-AD3D-4975-B2D4-1D4DC2CE0631}"/>
    <cellStyle name="Normal 9 2 3 2 5 2" xfId="6541" xr:uid="{D2103B77-1141-482A-8D51-285E30AF131C}"/>
    <cellStyle name="Normal 9 2 3 2 5 2 2" xfId="10759" xr:uid="{18DE1192-49A1-4D86-BF5F-944349BB2935}"/>
    <cellStyle name="Normal 9 2 3 2 5 3" xfId="8614" xr:uid="{9EAB11EC-3305-4044-88AB-D5659EA837A3}"/>
    <cellStyle name="Normal 9 2 3 2 6" xfId="4725" xr:uid="{1C58DAE6-07C3-4F06-8F73-96E893187B27}"/>
    <cellStyle name="Normal 9 2 3 2 6 2" xfId="6954" xr:uid="{22051A0C-207D-4C2F-A8A0-73FD9E8313E0}"/>
    <cellStyle name="Normal 9 2 3 2 6 2 2" xfId="11172" xr:uid="{73AB4DBE-5A49-49E4-B5E7-9DE1B329AC7B}"/>
    <cellStyle name="Normal 9 2 3 2 6 3" xfId="9027" xr:uid="{36B27362-628D-49D9-B563-1650F83BE04F}"/>
    <cellStyle name="Normal 9 2 3 2 7" xfId="5161" xr:uid="{25DFB955-8997-40F6-BD7C-3422790D283A}"/>
    <cellStyle name="Normal 9 2 3 2 7 2" xfId="9440" xr:uid="{10AE7E1E-02A4-4D7C-9D7B-C0A7F7F88136}"/>
    <cellStyle name="Normal 9 2 3 2 8" xfId="7375" xr:uid="{9D66BFF9-F056-4CF9-BA81-D13E1F34E305}"/>
    <cellStyle name="Normal 9 2 3 2 9" xfId="3071" xr:uid="{075F273B-226E-4E88-B64F-B6F7612CAE95}"/>
    <cellStyle name="Normal 9 2 3 3" xfId="526" xr:uid="{00000000-0005-0000-0000-0000B2030000}"/>
    <cellStyle name="Normal 9 2 3 3 10" xfId="1414" xr:uid="{98714B0D-C2D3-46AF-8EA7-3270F7E7D2B7}"/>
    <cellStyle name="Normal 9 2 3 3 2" xfId="998" xr:uid="{00000000-0005-0000-0000-0000B3030000}"/>
    <cellStyle name="Normal 9 2 3 3 2 2" xfId="5717" xr:uid="{B3940D73-A93E-47A7-8846-4C496A90095D}"/>
    <cellStyle name="Normal 9 2 3 3 2 2 2" xfId="9935" xr:uid="{D7B1C54B-B34A-4650-9C1E-F6D2DBC7AA4F}"/>
    <cellStyle name="Normal 9 2 3 3 2 3" xfId="7790" xr:uid="{F199088D-DBCC-4713-81D9-C3090D258560}"/>
    <cellStyle name="Normal 9 2 3 3 2 4" xfId="3488" xr:uid="{6BC86DEB-A6BB-42BC-86D6-04E236511E0C}"/>
    <cellStyle name="Normal 9 2 3 3 2 5" xfId="2659" xr:uid="{938E3AD5-7AC5-4C43-8DB4-D356642FB92B}"/>
    <cellStyle name="Normal 9 2 3 3 2 6" xfId="1830" xr:uid="{4ACFB034-0C18-46F6-8437-B13AF6274DB8}"/>
    <cellStyle name="Normal 9 2 3 3 3" xfId="3901" xr:uid="{6A750437-0EC7-4C11-BBA3-0D3E528BEAC9}"/>
    <cellStyle name="Normal 9 2 3 3 3 2" xfId="6130" xr:uid="{79023445-3CD9-4C76-A723-0B2C5F76192B}"/>
    <cellStyle name="Normal 9 2 3 3 3 2 2" xfId="10348" xr:uid="{D79C8AC6-39BA-4275-B334-1D8F769B40AD}"/>
    <cellStyle name="Normal 9 2 3 3 3 3" xfId="8203" xr:uid="{63AF89AA-1AE4-4FC6-829A-9C9050C19C8B}"/>
    <cellStyle name="Normal 9 2 3 3 4" xfId="4314" xr:uid="{FD4B80A5-D725-46D2-BED6-5D52CD49FC0C}"/>
    <cellStyle name="Normal 9 2 3 3 4 2" xfId="6543" xr:uid="{7ABEF0CE-5D5E-4C7C-94EE-41722EC44813}"/>
    <cellStyle name="Normal 9 2 3 3 4 2 2" xfId="10761" xr:uid="{9ECF734C-715D-44F7-A547-72840E1BD602}"/>
    <cellStyle name="Normal 9 2 3 3 4 3" xfId="8616" xr:uid="{5BB9F2D8-4E34-4139-9FC6-B19AC7F703E3}"/>
    <cellStyle name="Normal 9 2 3 3 5" xfId="4727" xr:uid="{582E1CB1-F5B3-442F-9404-B7B9F4FF0A94}"/>
    <cellStyle name="Normal 9 2 3 3 5 2" xfId="6956" xr:uid="{8C8369E3-F46F-42A0-AF40-73C3DF0E9CD0}"/>
    <cellStyle name="Normal 9 2 3 3 5 2 2" xfId="11174" xr:uid="{6DCE986E-EC6A-49A4-AE3D-FB069D78D251}"/>
    <cellStyle name="Normal 9 2 3 3 5 3" xfId="9029" xr:uid="{9F5024C1-C8A9-4563-B028-077F513CA76B}"/>
    <cellStyle name="Normal 9 2 3 3 6" xfId="5163" xr:uid="{29B1D3B6-6F71-4E85-80DB-C85CCB54EC52}"/>
    <cellStyle name="Normal 9 2 3 3 6 2" xfId="9442" xr:uid="{89E4C9EB-319C-413F-B9A9-BD13DE2669EA}"/>
    <cellStyle name="Normal 9 2 3 3 7" xfId="7377" xr:uid="{895400FF-97A4-4B97-BF86-988AFB7C9360}"/>
    <cellStyle name="Normal 9 2 3 3 8" xfId="3073" xr:uid="{40322C72-A9CE-45A6-B01A-F810F5920C3E}"/>
    <cellStyle name="Normal 9 2 3 3 9" xfId="2243" xr:uid="{3C7D3E60-D704-4DC1-ABD2-978BA87059A1}"/>
    <cellStyle name="Normal 9 2 3 4" xfId="995" xr:uid="{00000000-0005-0000-0000-0000B4030000}"/>
    <cellStyle name="Normal 9 2 3 4 2" xfId="5714" xr:uid="{9230AD13-ACAB-44C7-88DB-8A70E8B8C163}"/>
    <cellStyle name="Normal 9 2 3 4 2 2" xfId="9932" xr:uid="{44B8D680-8B9A-4C91-97E6-A9B4F9FCA5BF}"/>
    <cellStyle name="Normal 9 2 3 4 3" xfId="7787" xr:uid="{D69EFB1A-090B-432B-9564-2B86C2E2D7EC}"/>
    <cellStyle name="Normal 9 2 3 4 4" xfId="3485" xr:uid="{61E58C72-0DBA-475C-8613-1BFBB5FECCBD}"/>
    <cellStyle name="Normal 9 2 3 4 5" xfId="2656" xr:uid="{50007D0A-B59E-41E3-A39D-00530B169C44}"/>
    <cellStyle name="Normal 9 2 3 4 6" xfId="1827" xr:uid="{E800DBE6-9E66-4876-AEB3-84C6EB0C1865}"/>
    <cellStyle name="Normal 9 2 3 5" xfId="3898" xr:uid="{6311AC0E-E828-4F51-B107-112F90EF5322}"/>
    <cellStyle name="Normal 9 2 3 5 2" xfId="6127" xr:uid="{CF7A9397-D46A-403D-B90A-299FA17A1F2B}"/>
    <cellStyle name="Normal 9 2 3 5 2 2" xfId="10345" xr:uid="{E74C1DB9-6F4A-4F26-A3AA-8A22CBF8858F}"/>
    <cellStyle name="Normal 9 2 3 5 3" xfId="8200" xr:uid="{00AE54BC-2340-4D51-9C26-7303F4B2B89D}"/>
    <cellStyle name="Normal 9 2 3 6" xfId="4311" xr:uid="{70FCA8D0-9DCE-4695-9A3E-A967B7F136D7}"/>
    <cellStyle name="Normal 9 2 3 6 2" xfId="6540" xr:uid="{04313B32-35E4-4D61-9713-EC9ECF437964}"/>
    <cellStyle name="Normal 9 2 3 6 2 2" xfId="10758" xr:uid="{507D256D-64E9-4F5F-BF50-77A92FABE8AA}"/>
    <cellStyle name="Normal 9 2 3 6 3" xfId="8613" xr:uid="{39C0A704-846A-4B91-872B-778A59FF5789}"/>
    <cellStyle name="Normal 9 2 3 7" xfId="4724" xr:uid="{FC67EE6E-02A9-4F6F-A3A6-48503DA08751}"/>
    <cellStyle name="Normal 9 2 3 7 2" xfId="6953" xr:uid="{895FF699-89E9-43AD-8DB3-17B36C1122CD}"/>
    <cellStyle name="Normal 9 2 3 7 2 2" xfId="11171" xr:uid="{36DE3332-442E-48E4-8C04-47111472C8A2}"/>
    <cellStyle name="Normal 9 2 3 7 3" xfId="9026" xr:uid="{F5187C88-82AC-40DE-8FBA-1DFA9DC92D20}"/>
    <cellStyle name="Normal 9 2 3 8" xfId="5160" xr:uid="{F44AD62D-4892-46BE-8EF7-960773F9FFF3}"/>
    <cellStyle name="Normal 9 2 3 8 2" xfId="9439" xr:uid="{6344836D-810D-4998-9DF4-70A18F904769}"/>
    <cellStyle name="Normal 9 2 3 9" xfId="7374" xr:uid="{E24B94DF-46DD-44BE-A20A-188656868843}"/>
    <cellStyle name="Normal 9 2 4" xfId="527" xr:uid="{00000000-0005-0000-0000-0000B5030000}"/>
    <cellStyle name="Normal 9 2 4 10" xfId="2244" xr:uid="{2D935DB6-EEC3-4010-8B0E-CB1872359714}"/>
    <cellStyle name="Normal 9 2 4 11" xfId="1415" xr:uid="{35D21669-C98D-466B-8C13-2CDA8B9D8505}"/>
    <cellStyle name="Normal 9 2 4 2" xfId="528" xr:uid="{00000000-0005-0000-0000-0000B6030000}"/>
    <cellStyle name="Normal 9 2 4 2 10" xfId="1416" xr:uid="{DE5E68EA-DD9E-4548-AC34-90003B69AFCE}"/>
    <cellStyle name="Normal 9 2 4 2 2" xfId="1000" xr:uid="{00000000-0005-0000-0000-0000B7030000}"/>
    <cellStyle name="Normal 9 2 4 2 2 2" xfId="5719" xr:uid="{9FC7390C-2A44-49FB-9965-975FE978BDE2}"/>
    <cellStyle name="Normal 9 2 4 2 2 2 2" xfId="9937" xr:uid="{53D167BB-D166-4BCE-AEE4-D60288AFE73C}"/>
    <cellStyle name="Normal 9 2 4 2 2 3" xfId="7792" xr:uid="{FE8902BC-ADB6-4A32-920B-B9640F73C961}"/>
    <cellStyle name="Normal 9 2 4 2 2 4" xfId="3490" xr:uid="{84E10E2D-7E75-4273-BA25-82FF858CE58E}"/>
    <cellStyle name="Normal 9 2 4 2 2 5" xfId="2661" xr:uid="{7431BC68-669E-4862-9115-00BFFEA3ED4D}"/>
    <cellStyle name="Normal 9 2 4 2 2 6" xfId="1832" xr:uid="{BD3B1900-D026-4514-85FC-7C18DF12111F}"/>
    <cellStyle name="Normal 9 2 4 2 3" xfId="3903" xr:uid="{4B4086CB-1F11-4722-AE63-37AF07498D71}"/>
    <cellStyle name="Normal 9 2 4 2 3 2" xfId="6132" xr:uid="{33DB37CC-A142-4D26-8CBA-DD8DB0F8BFED}"/>
    <cellStyle name="Normal 9 2 4 2 3 2 2" xfId="10350" xr:uid="{F44DDEAC-8C16-4BB0-B0F2-9688870B9F25}"/>
    <cellStyle name="Normal 9 2 4 2 3 3" xfId="8205" xr:uid="{4833071B-F2E3-478A-88AD-5149D79CC2CF}"/>
    <cellStyle name="Normal 9 2 4 2 4" xfId="4316" xr:uid="{139B3B95-E0F2-4E73-93B0-09A01C2D6E45}"/>
    <cellStyle name="Normal 9 2 4 2 4 2" xfId="6545" xr:uid="{73D372D2-54B2-412E-9920-23F274990588}"/>
    <cellStyle name="Normal 9 2 4 2 4 2 2" xfId="10763" xr:uid="{DBDE024F-14C4-4389-8F06-781A5BA62AF2}"/>
    <cellStyle name="Normal 9 2 4 2 4 3" xfId="8618" xr:uid="{BF3D0AF0-9278-4730-9238-FD92A81D9861}"/>
    <cellStyle name="Normal 9 2 4 2 5" xfId="4729" xr:uid="{987A4A72-B9D7-4590-A207-B91C1B8862FD}"/>
    <cellStyle name="Normal 9 2 4 2 5 2" xfId="6958" xr:uid="{853BC033-D9F6-4E42-80EF-31BEF78B101F}"/>
    <cellStyle name="Normal 9 2 4 2 5 2 2" xfId="11176" xr:uid="{5B10126F-0B0E-4379-9F96-3DB99B3FBFC0}"/>
    <cellStyle name="Normal 9 2 4 2 5 3" xfId="9031" xr:uid="{ABC18C5A-ECAF-4CF3-A7ED-21B95E539607}"/>
    <cellStyle name="Normal 9 2 4 2 6" xfId="5165" xr:uid="{19EF0D7B-9899-43EF-BFAB-772D3FD2CB44}"/>
    <cellStyle name="Normal 9 2 4 2 6 2" xfId="9444" xr:uid="{68474EA1-954E-4749-B792-566EA390AB36}"/>
    <cellStyle name="Normal 9 2 4 2 7" xfId="7379" xr:uid="{6564421E-E06C-49BE-9D59-8D3511B8E80A}"/>
    <cellStyle name="Normal 9 2 4 2 8" xfId="3075" xr:uid="{6C0C8D1F-73E3-4FBE-8395-D08A1D85FED8}"/>
    <cellStyle name="Normal 9 2 4 2 9" xfId="2245" xr:uid="{B8207FCF-2256-4626-BD65-92E14CDE554A}"/>
    <cellStyle name="Normal 9 2 4 3" xfId="999" xr:uid="{00000000-0005-0000-0000-0000B8030000}"/>
    <cellStyle name="Normal 9 2 4 3 2" xfId="5718" xr:uid="{AD9F279C-41AA-4A94-A32B-1D0B791B73CC}"/>
    <cellStyle name="Normal 9 2 4 3 2 2" xfId="9936" xr:uid="{8E60A5CA-A2B7-4D29-87A5-F3DF6F46992B}"/>
    <cellStyle name="Normal 9 2 4 3 3" xfId="7791" xr:uid="{8D155804-4123-4608-B7A3-A37DC20115FA}"/>
    <cellStyle name="Normal 9 2 4 3 4" xfId="3489" xr:uid="{8A0532F7-5C4E-4221-AA5A-7ED766841EB4}"/>
    <cellStyle name="Normal 9 2 4 3 5" xfId="2660" xr:uid="{BBEECCDD-48A3-47EF-B2F1-A7E1F2581D3F}"/>
    <cellStyle name="Normal 9 2 4 3 6" xfId="1831" xr:uid="{B6CA5FCA-171D-4B1A-B362-ED452F5F48DE}"/>
    <cellStyle name="Normal 9 2 4 4" xfId="3902" xr:uid="{4E2A4F6E-C3D3-4C60-ACBE-6CFFCA3084B2}"/>
    <cellStyle name="Normal 9 2 4 4 2" xfId="6131" xr:uid="{B423E6C1-1626-49C3-BA64-441FFC0FF74C}"/>
    <cellStyle name="Normal 9 2 4 4 2 2" xfId="10349" xr:uid="{4AD62D61-1EDC-4E87-8CD6-2C59A1BBF495}"/>
    <cellStyle name="Normal 9 2 4 4 3" xfId="8204" xr:uid="{39A3E33C-4753-4525-87CA-716745FA5E67}"/>
    <cellStyle name="Normal 9 2 4 5" xfId="4315" xr:uid="{054E2B14-779C-4F0F-AA59-13FD85CE2E67}"/>
    <cellStyle name="Normal 9 2 4 5 2" xfId="6544" xr:uid="{D93C6C68-A8B7-439C-AB49-C024005824AA}"/>
    <cellStyle name="Normal 9 2 4 5 2 2" xfId="10762" xr:uid="{AC7B3F01-0ECA-4254-80C6-FFA13ABCBBA3}"/>
    <cellStyle name="Normal 9 2 4 5 3" xfId="8617" xr:uid="{BBB15D60-C451-4929-B1C9-B7FE84AA8724}"/>
    <cellStyle name="Normal 9 2 4 6" xfId="4728" xr:uid="{338346DC-FD84-4C6B-AF26-DCF0A6074C5B}"/>
    <cellStyle name="Normal 9 2 4 6 2" xfId="6957" xr:uid="{D137A8F4-5A38-47D5-B923-B84618838EDD}"/>
    <cellStyle name="Normal 9 2 4 6 2 2" xfId="11175" xr:uid="{38CE1408-F30D-4D49-9C78-393461520C3D}"/>
    <cellStyle name="Normal 9 2 4 6 3" xfId="9030" xr:uid="{3447E174-7EFB-458F-A6BE-51D62796F6F1}"/>
    <cellStyle name="Normal 9 2 4 7" xfId="5164" xr:uid="{3B3456F4-BA2E-4286-A2FD-76D92C8D91CD}"/>
    <cellStyle name="Normal 9 2 4 7 2" xfId="9443" xr:uid="{69AD3835-FE4C-474D-B55E-1A470E333C7A}"/>
    <cellStyle name="Normal 9 2 4 8" xfId="7378" xr:uid="{8D6AD684-F873-4EDB-A788-26C4277AC0C0}"/>
    <cellStyle name="Normal 9 2 4 9" xfId="3074" xr:uid="{FF79036C-F7FC-4BB2-8352-BDD467F34110}"/>
    <cellStyle name="Normal 9 2 5" xfId="529" xr:uid="{00000000-0005-0000-0000-0000B9030000}"/>
    <cellStyle name="Normal 9 2 5 10" xfId="1417" xr:uid="{AC6EFC67-02CE-4FCF-B5FE-A5224846D1B8}"/>
    <cellStyle name="Normal 9 2 5 2" xfId="1001" xr:uid="{00000000-0005-0000-0000-0000BA030000}"/>
    <cellStyle name="Normal 9 2 5 2 2" xfId="5720" xr:uid="{F1BA8B5D-ACC7-49C3-BA69-529C1EC5E510}"/>
    <cellStyle name="Normal 9 2 5 2 2 2" xfId="9938" xr:uid="{66D920DE-87E3-4644-B597-09FE1D25A2F7}"/>
    <cellStyle name="Normal 9 2 5 2 3" xfId="7793" xr:uid="{9284C1C8-FAF2-45CD-B580-D204D87D93C1}"/>
    <cellStyle name="Normal 9 2 5 2 4" xfId="3491" xr:uid="{0EF0D1CB-1B66-426C-9F53-D048D2A11FBA}"/>
    <cellStyle name="Normal 9 2 5 2 5" xfId="2662" xr:uid="{B16592B1-28F4-42E6-9411-63E438F407EA}"/>
    <cellStyle name="Normal 9 2 5 2 6" xfId="1833" xr:uid="{4A5FD2E1-3413-4E33-A548-0F4A0F1FA742}"/>
    <cellStyle name="Normal 9 2 5 3" xfId="3904" xr:uid="{62ADA4C7-5675-45CD-A1BD-71CC55DD0719}"/>
    <cellStyle name="Normal 9 2 5 3 2" xfId="6133" xr:uid="{59ABCE9C-440E-4365-93FF-0936016DFCC5}"/>
    <cellStyle name="Normal 9 2 5 3 2 2" xfId="10351" xr:uid="{DA70DF61-3412-4DFE-A371-AA1DCE212FCF}"/>
    <cellStyle name="Normal 9 2 5 3 3" xfId="8206" xr:uid="{3EE10573-C52A-434C-A68F-311BC25F572F}"/>
    <cellStyle name="Normal 9 2 5 4" xfId="4317" xr:uid="{8C726DAD-0501-49A5-949A-8E1EA8C18110}"/>
    <cellStyle name="Normal 9 2 5 4 2" xfId="6546" xr:uid="{2B1BA8AB-B73F-44D1-96EB-0BDCADD0B0C0}"/>
    <cellStyle name="Normal 9 2 5 4 2 2" xfId="10764" xr:uid="{11153B6D-2F71-4A2B-97B1-4E4585B9CFB9}"/>
    <cellStyle name="Normal 9 2 5 4 3" xfId="8619" xr:uid="{25E7B6FE-E6F4-4583-AFF0-1355A013BBDD}"/>
    <cellStyle name="Normal 9 2 5 5" xfId="4730" xr:uid="{63D9A48B-E60A-43AD-B1E8-6415A72479BE}"/>
    <cellStyle name="Normal 9 2 5 5 2" xfId="6959" xr:uid="{3E6451E5-E67C-408E-9F4E-F819CD17F895}"/>
    <cellStyle name="Normal 9 2 5 5 2 2" xfId="11177" xr:uid="{99D59975-B0A5-4597-AEDC-EBAA4114D969}"/>
    <cellStyle name="Normal 9 2 5 5 3" xfId="9032" xr:uid="{96BA0E45-5FD9-4549-80D6-F232BFBB1B06}"/>
    <cellStyle name="Normal 9 2 5 6" xfId="5166" xr:uid="{65A71514-0262-4D18-B43A-B324E05E969F}"/>
    <cellStyle name="Normal 9 2 5 6 2" xfId="9445" xr:uid="{146734CE-72B7-4816-8297-CC86B5C97EBD}"/>
    <cellStyle name="Normal 9 2 5 7" xfId="7380" xr:uid="{0733E046-3DA5-4AB8-A520-62B4E44B221C}"/>
    <cellStyle name="Normal 9 2 5 8" xfId="3076" xr:uid="{A01A4914-59D7-4E8B-8FBA-64865286B25D}"/>
    <cellStyle name="Normal 9 2 5 9" xfId="2246" xr:uid="{813FB74D-7BB6-42D8-80B3-BF0575769123}"/>
    <cellStyle name="Normal 9 2 6" xfId="986" xr:uid="{00000000-0005-0000-0000-0000BB030000}"/>
    <cellStyle name="Normal 9 2 6 2" xfId="5705" xr:uid="{649FD7B5-E3A9-4577-8AD1-5204DA92825F}"/>
    <cellStyle name="Normal 9 2 6 2 2" xfId="9923" xr:uid="{36229A02-0F90-4CBD-9B28-5C5E33963E58}"/>
    <cellStyle name="Normal 9 2 6 3" xfId="7778" xr:uid="{B1A5ABEF-F943-4BDC-B4FB-B0EA33E4712E}"/>
    <cellStyle name="Normal 9 2 6 4" xfId="3476" xr:uid="{4D571EE1-3378-4F78-96EF-EB11B99A2F2B}"/>
    <cellStyle name="Normal 9 2 6 5" xfId="2647" xr:uid="{1763AACB-7A87-4269-9915-ACF81D3C5FE9}"/>
    <cellStyle name="Normal 9 2 6 6" xfId="1818" xr:uid="{3DE54121-D992-4D42-8F7A-990DAD9D20EE}"/>
    <cellStyle name="Normal 9 2 7" xfId="3889" xr:uid="{1FB95DA6-BBBB-4BA8-9AD9-2B5850632023}"/>
    <cellStyle name="Normal 9 2 7 2" xfId="6118" xr:uid="{5E72E2FE-9374-4B19-AC77-AEAAB1726768}"/>
    <cellStyle name="Normal 9 2 7 2 2" xfId="10336" xr:uid="{EA808E93-733C-4262-8B8F-3CE3B4EAF1B4}"/>
    <cellStyle name="Normal 9 2 7 3" xfId="8191" xr:uid="{FB94E232-F635-44E0-B1A7-2BBA3BDA5254}"/>
    <cellStyle name="Normal 9 2 8" xfId="4302" xr:uid="{CFE04C6E-1B9B-4210-9F27-81EDA6278C75}"/>
    <cellStyle name="Normal 9 2 8 2" xfId="6531" xr:uid="{30228D9B-3440-45D8-A734-8F2E68C023AD}"/>
    <cellStyle name="Normal 9 2 8 2 2" xfId="10749" xr:uid="{710883F9-8016-498C-8C1E-BDF8D86478DA}"/>
    <cellStyle name="Normal 9 2 8 3" xfId="8604" xr:uid="{BE99822D-438B-462D-AD35-9F2E8AF1FE49}"/>
    <cellStyle name="Normal 9 2 9" xfId="4715" xr:uid="{2D4962DC-B993-4877-9A9B-B737CFDE391C}"/>
    <cellStyle name="Normal 9 2 9 2" xfId="6944" xr:uid="{97ED5332-5863-49C6-97B5-0198334231C3}"/>
    <cellStyle name="Normal 9 2 9 2 2" xfId="11162" xr:uid="{05BFE0FD-C0BD-440F-B02E-0EDCE9FCDE1F}"/>
    <cellStyle name="Normal 9 2 9 3" xfId="9017" xr:uid="{F2B23508-F572-484B-A73C-96FF6228FB2D}"/>
    <cellStyle name="Normal 9 3" xfId="530" xr:uid="{00000000-0005-0000-0000-0000BC030000}"/>
    <cellStyle name="Normal 9 3 10" xfId="7381" xr:uid="{D1158223-9595-4C7B-8A20-F8EA289CF611}"/>
    <cellStyle name="Normal 9 3 11" xfId="3077" xr:uid="{1CE7A359-B641-45CD-A3EF-9AC379917B2B}"/>
    <cellStyle name="Normal 9 3 12" xfId="2247" xr:uid="{3EB6F6DD-C62C-4F78-9EBB-21A516DD35B3}"/>
    <cellStyle name="Normal 9 3 13" xfId="1418" xr:uid="{BDA19137-B901-4306-8E46-224FE8E09D50}"/>
    <cellStyle name="Normal 9 3 2" xfId="531" xr:uid="{00000000-0005-0000-0000-0000BD030000}"/>
    <cellStyle name="Normal 9 3 2 10" xfId="3078" xr:uid="{72396A87-7B68-4C32-A37F-50E0879F3D53}"/>
    <cellStyle name="Normal 9 3 2 11" xfId="2248" xr:uid="{E9863D01-08B6-4F43-B9F3-EA02CCE2DF6D}"/>
    <cellStyle name="Normal 9 3 2 12" xfId="1419" xr:uid="{8EE12636-CD8F-464C-A712-065E50D63EE4}"/>
    <cellStyle name="Normal 9 3 2 2" xfId="532" xr:uid="{00000000-0005-0000-0000-0000BE030000}"/>
    <cellStyle name="Normal 9 3 2 2 10" xfId="2249" xr:uid="{1CEC4996-4490-45CC-8EC1-2862F859C496}"/>
    <cellStyle name="Normal 9 3 2 2 11" xfId="1420" xr:uid="{3DAD042B-444A-4528-A458-AB339FFAC434}"/>
    <cellStyle name="Normal 9 3 2 2 2" xfId="533" xr:uid="{00000000-0005-0000-0000-0000BF030000}"/>
    <cellStyle name="Normal 9 3 2 2 2 10" xfId="1421" xr:uid="{EDC234B7-9A55-4F2B-91EC-C2170E2F02F0}"/>
    <cellStyle name="Normal 9 3 2 2 2 2" xfId="1005" xr:uid="{00000000-0005-0000-0000-0000C0030000}"/>
    <cellStyle name="Normal 9 3 2 2 2 2 2" xfId="5724" xr:uid="{47550BE6-B80E-4523-8482-3423D01CD8FF}"/>
    <cellStyle name="Normal 9 3 2 2 2 2 2 2" xfId="9942" xr:uid="{430371A5-6D3B-422C-8EB8-36EDCDCBBC20}"/>
    <cellStyle name="Normal 9 3 2 2 2 2 3" xfId="7797" xr:uid="{B4D0D294-3F57-4F36-9F80-E85FE7F77BEF}"/>
    <cellStyle name="Normal 9 3 2 2 2 2 4" xfId="3495" xr:uid="{D64AEDA5-1C78-441D-9B4B-B198D16B5F83}"/>
    <cellStyle name="Normal 9 3 2 2 2 2 5" xfId="2666" xr:uid="{AD5D5779-7A56-4A3C-86FC-C353B3AA48EA}"/>
    <cellStyle name="Normal 9 3 2 2 2 2 6" xfId="1837" xr:uid="{218C8861-8387-456E-BE86-F1DDDBEE86DB}"/>
    <cellStyle name="Normal 9 3 2 2 2 3" xfId="3908" xr:uid="{F0E9E9BE-E1B6-4D77-BB92-2F3453C2AD05}"/>
    <cellStyle name="Normal 9 3 2 2 2 3 2" xfId="6137" xr:uid="{EAD43699-5C3F-4260-949D-CE9D33653F2D}"/>
    <cellStyle name="Normal 9 3 2 2 2 3 2 2" xfId="10355" xr:uid="{8D128E28-0409-4F28-B3C9-22510924800F}"/>
    <cellStyle name="Normal 9 3 2 2 2 3 3" xfId="8210" xr:uid="{7CFB04A5-EA43-4F29-A080-2C3C48C8E24B}"/>
    <cellStyle name="Normal 9 3 2 2 2 4" xfId="4321" xr:uid="{F20C026D-50C1-4A50-8EBC-C3FB189FBEDD}"/>
    <cellStyle name="Normal 9 3 2 2 2 4 2" xfId="6550" xr:uid="{58A22C30-054E-417A-8E84-BC96BA1B80CA}"/>
    <cellStyle name="Normal 9 3 2 2 2 4 2 2" xfId="10768" xr:uid="{7BAAF192-5301-4095-A324-48293559F0C6}"/>
    <cellStyle name="Normal 9 3 2 2 2 4 3" xfId="8623" xr:uid="{322A691E-5290-4F65-BD21-A95A9B6DDE23}"/>
    <cellStyle name="Normal 9 3 2 2 2 5" xfId="4734" xr:uid="{D20D91BD-7257-4D26-8C29-1CA6C3B3A4AB}"/>
    <cellStyle name="Normal 9 3 2 2 2 5 2" xfId="6963" xr:uid="{9202B3B6-B81C-462A-AEAD-D345070848F4}"/>
    <cellStyle name="Normal 9 3 2 2 2 5 2 2" xfId="11181" xr:uid="{39160B6C-1294-41F9-AA30-8B2E5F850F4D}"/>
    <cellStyle name="Normal 9 3 2 2 2 5 3" xfId="9036" xr:uid="{416BF73F-E3BA-4B15-A1E0-E64E209B8289}"/>
    <cellStyle name="Normal 9 3 2 2 2 6" xfId="5170" xr:uid="{E9532DF6-2113-4B1E-AAC4-422B0E41117F}"/>
    <cellStyle name="Normal 9 3 2 2 2 6 2" xfId="9449" xr:uid="{400AAFFE-55FC-40A6-8008-9FE969A1919D}"/>
    <cellStyle name="Normal 9 3 2 2 2 7" xfId="7384" xr:uid="{D74CF2F7-1B4D-4778-BFA1-0E2A79C56D99}"/>
    <cellStyle name="Normal 9 3 2 2 2 8" xfId="3080" xr:uid="{54550C5D-BCF4-4B98-9DB3-4CC7F4295727}"/>
    <cellStyle name="Normal 9 3 2 2 2 9" xfId="2250" xr:uid="{D5E8946E-4DEA-44D8-92F5-2B6E4445728A}"/>
    <cellStyle name="Normal 9 3 2 2 3" xfId="1004" xr:uid="{00000000-0005-0000-0000-0000C1030000}"/>
    <cellStyle name="Normal 9 3 2 2 3 2" xfId="5723" xr:uid="{CE75DE52-1D47-44A2-804A-D369104C07AB}"/>
    <cellStyle name="Normal 9 3 2 2 3 2 2" xfId="9941" xr:uid="{ABF60E51-08AF-4D7A-BC28-2EE6FD746C48}"/>
    <cellStyle name="Normal 9 3 2 2 3 3" xfId="7796" xr:uid="{EAD6EC40-B293-4528-BF5C-F51AF60FB2E8}"/>
    <cellStyle name="Normal 9 3 2 2 3 4" xfId="3494" xr:uid="{D400BE22-0EC0-400F-9A59-66952E6BA485}"/>
    <cellStyle name="Normal 9 3 2 2 3 5" xfId="2665" xr:uid="{312FCDCF-444F-4F7F-A9CA-F308819E66E4}"/>
    <cellStyle name="Normal 9 3 2 2 3 6" xfId="1836" xr:uid="{2BE999B6-C732-4FAA-8CD2-E0951CDEE8F3}"/>
    <cellStyle name="Normal 9 3 2 2 4" xfId="3907" xr:uid="{2B57CA0D-1EF8-46BB-AFB5-2B1B969E2797}"/>
    <cellStyle name="Normal 9 3 2 2 4 2" xfId="6136" xr:uid="{5563E961-BB01-4871-996A-401C72EBFC9F}"/>
    <cellStyle name="Normal 9 3 2 2 4 2 2" xfId="10354" xr:uid="{9F198489-CAF7-48FB-A93E-10E3D85A4CFD}"/>
    <cellStyle name="Normal 9 3 2 2 4 3" xfId="8209" xr:uid="{2BC8B81D-02AC-4403-8227-756848BCDDE9}"/>
    <cellStyle name="Normal 9 3 2 2 5" xfId="4320" xr:uid="{0FAB10AE-84A3-40A8-96B5-12907813C241}"/>
    <cellStyle name="Normal 9 3 2 2 5 2" xfId="6549" xr:uid="{32BF3EE4-885C-47F2-9DBB-C789D8CB1E6A}"/>
    <cellStyle name="Normal 9 3 2 2 5 2 2" xfId="10767" xr:uid="{89E2D1F6-D83C-46D5-946F-77A66D6CD576}"/>
    <cellStyle name="Normal 9 3 2 2 5 3" xfId="8622" xr:uid="{9F3EF6BD-037B-48F1-8430-C1ED1CBBAD62}"/>
    <cellStyle name="Normal 9 3 2 2 6" xfId="4733" xr:uid="{E5CFC57D-214D-4ECA-B404-FE9B14A2FB79}"/>
    <cellStyle name="Normal 9 3 2 2 6 2" xfId="6962" xr:uid="{176C000E-52AF-4960-A697-C46024F1A637}"/>
    <cellStyle name="Normal 9 3 2 2 6 2 2" xfId="11180" xr:uid="{2ACED16E-0080-4EAA-AEE3-FB1AF3485A36}"/>
    <cellStyle name="Normal 9 3 2 2 6 3" xfId="9035" xr:uid="{AE027880-456E-4184-B108-5194D9E9E4A3}"/>
    <cellStyle name="Normal 9 3 2 2 7" xfId="5169" xr:uid="{AD991657-E602-4001-9795-5C5578B98BEC}"/>
    <cellStyle name="Normal 9 3 2 2 7 2" xfId="9448" xr:uid="{88862C6B-596D-42E9-A8A8-A1046A5B2EFE}"/>
    <cellStyle name="Normal 9 3 2 2 8" xfId="7383" xr:uid="{89F0EF15-37B4-4495-AFF3-9820A1AAB679}"/>
    <cellStyle name="Normal 9 3 2 2 9" xfId="3079" xr:uid="{6FE31C1C-8461-4BA6-99CA-593E32EC8ED6}"/>
    <cellStyle name="Normal 9 3 2 3" xfId="534" xr:uid="{00000000-0005-0000-0000-0000C2030000}"/>
    <cellStyle name="Normal 9 3 2 3 10" xfId="1422" xr:uid="{413B8FEE-6EAB-4A73-A776-803782B4E02D}"/>
    <cellStyle name="Normal 9 3 2 3 2" xfId="1006" xr:uid="{00000000-0005-0000-0000-0000C3030000}"/>
    <cellStyle name="Normal 9 3 2 3 2 2" xfId="5725" xr:uid="{A3247F73-F7D6-4B9B-9D22-08772961AEED}"/>
    <cellStyle name="Normal 9 3 2 3 2 2 2" xfId="9943" xr:uid="{ECEE5D39-ABAD-42A1-A0D6-A8F91D3E568F}"/>
    <cellStyle name="Normal 9 3 2 3 2 3" xfId="7798" xr:uid="{76DE5B46-0725-4481-A047-26E86AF44115}"/>
    <cellStyle name="Normal 9 3 2 3 2 4" xfId="3496" xr:uid="{4BB1057D-0ECC-4D42-8D87-6C91403A1E1E}"/>
    <cellStyle name="Normal 9 3 2 3 2 5" xfId="2667" xr:uid="{C02A166A-4E22-4265-8D8A-89BAAA50566A}"/>
    <cellStyle name="Normal 9 3 2 3 2 6" xfId="1838" xr:uid="{F2E729A1-50E3-4563-A2FE-19E1CE51F399}"/>
    <cellStyle name="Normal 9 3 2 3 3" xfId="3909" xr:uid="{76E5AC6A-CC97-4FCE-BFA2-E363731EFFE6}"/>
    <cellStyle name="Normal 9 3 2 3 3 2" xfId="6138" xr:uid="{01F3CD79-F0C7-408F-AFFF-3784839CE73C}"/>
    <cellStyle name="Normal 9 3 2 3 3 2 2" xfId="10356" xr:uid="{A29E26DA-7BB6-483E-AE02-AEFFC26FB126}"/>
    <cellStyle name="Normal 9 3 2 3 3 3" xfId="8211" xr:uid="{4656D6AC-3A83-4E5A-A3C0-55FDEC94ADFD}"/>
    <cellStyle name="Normal 9 3 2 3 4" xfId="4322" xr:uid="{9143D8E0-A437-4DF9-86CB-EFA2921BE7A9}"/>
    <cellStyle name="Normal 9 3 2 3 4 2" xfId="6551" xr:uid="{07117B43-7AC9-4C80-B31A-3CEF14018E7E}"/>
    <cellStyle name="Normal 9 3 2 3 4 2 2" xfId="10769" xr:uid="{35BF86EF-9EAD-4D18-A86C-261A03B6A18A}"/>
    <cellStyle name="Normal 9 3 2 3 4 3" xfId="8624" xr:uid="{572115F3-2C95-44B8-8EC8-9508C843E817}"/>
    <cellStyle name="Normal 9 3 2 3 5" xfId="4735" xr:uid="{3E332100-1359-4D56-8F1D-C0D16374AE74}"/>
    <cellStyle name="Normal 9 3 2 3 5 2" xfId="6964" xr:uid="{815D7744-1D7A-4263-9AAE-FCDCDFFC0249}"/>
    <cellStyle name="Normal 9 3 2 3 5 2 2" xfId="11182" xr:uid="{329D101A-7117-44F2-A673-6C936F68A803}"/>
    <cellStyle name="Normal 9 3 2 3 5 3" xfId="9037" xr:uid="{175121A3-4891-4C4A-8D95-38FD5DE255C5}"/>
    <cellStyle name="Normal 9 3 2 3 6" xfId="5171" xr:uid="{E9C53E38-0787-40E8-B642-007BF8E38B5F}"/>
    <cellStyle name="Normal 9 3 2 3 6 2" xfId="9450" xr:uid="{A736AE8E-A279-4577-9930-F5D1C85D7705}"/>
    <cellStyle name="Normal 9 3 2 3 7" xfId="7385" xr:uid="{48001BC8-4116-43CB-AD5F-B3EC390D7E69}"/>
    <cellStyle name="Normal 9 3 2 3 8" xfId="3081" xr:uid="{5445033C-4586-4B15-AC29-4C481501538C}"/>
    <cellStyle name="Normal 9 3 2 3 9" xfId="2251" xr:uid="{C5AA01FF-1644-4F48-A9E8-FF5EA5E61236}"/>
    <cellStyle name="Normal 9 3 2 4" xfId="1003" xr:uid="{00000000-0005-0000-0000-0000C4030000}"/>
    <cellStyle name="Normal 9 3 2 4 2" xfId="5722" xr:uid="{F582212A-CC50-4B35-B8C3-5481D4604307}"/>
    <cellStyle name="Normal 9 3 2 4 2 2" xfId="9940" xr:uid="{1726DAA5-1ED8-4839-96F4-B09732742CFC}"/>
    <cellStyle name="Normal 9 3 2 4 3" xfId="7795" xr:uid="{D83340C4-2538-4AE3-87C3-B657B821EB8E}"/>
    <cellStyle name="Normal 9 3 2 4 4" xfId="3493" xr:uid="{6EF233BC-B658-40E9-94B3-343A99834A75}"/>
    <cellStyle name="Normal 9 3 2 4 5" xfId="2664" xr:uid="{BAFFC105-703E-48BF-80AB-3D2C318B073D}"/>
    <cellStyle name="Normal 9 3 2 4 6" xfId="1835" xr:uid="{B4D9E1EB-C0CF-4FDE-BA59-8063BFD046B9}"/>
    <cellStyle name="Normal 9 3 2 5" xfId="3906" xr:uid="{43AF58EE-257F-4406-A121-E735904EE1CA}"/>
    <cellStyle name="Normal 9 3 2 5 2" xfId="6135" xr:uid="{E96863EE-D884-4E45-8FF2-1E14E8E89F32}"/>
    <cellStyle name="Normal 9 3 2 5 2 2" xfId="10353" xr:uid="{5205A327-D3B2-4238-AFB8-5F5D359054C4}"/>
    <cellStyle name="Normal 9 3 2 5 3" xfId="8208" xr:uid="{084A4287-3C97-4A66-BAD9-DE9EF6783D65}"/>
    <cellStyle name="Normal 9 3 2 6" xfId="4319" xr:uid="{E491AC93-247B-4972-B955-B8CC45440075}"/>
    <cellStyle name="Normal 9 3 2 6 2" xfId="6548" xr:uid="{C3C5D08D-9B91-4FD3-833A-2EC4FD4DE198}"/>
    <cellStyle name="Normal 9 3 2 6 2 2" xfId="10766" xr:uid="{C7B5CA07-A478-4CAD-B033-83E37202BF5B}"/>
    <cellStyle name="Normal 9 3 2 6 3" xfId="8621" xr:uid="{3BAA5A0A-D34E-496B-96EB-C907303BA9C1}"/>
    <cellStyle name="Normal 9 3 2 7" xfId="4732" xr:uid="{14E2363F-98ED-44A7-82F0-05FBD5B7B52D}"/>
    <cellStyle name="Normal 9 3 2 7 2" xfId="6961" xr:uid="{08B566F8-3E18-4625-990B-132C02C4F73F}"/>
    <cellStyle name="Normal 9 3 2 7 2 2" xfId="11179" xr:uid="{6CD46535-5EAA-4B8F-BFCA-92A97CA60ABA}"/>
    <cellStyle name="Normal 9 3 2 7 3" xfId="9034" xr:uid="{805C7B57-CAC4-4F65-86D9-069A0717B20E}"/>
    <cellStyle name="Normal 9 3 2 8" xfId="5168" xr:uid="{A48B8143-20A6-4B69-9413-458E9EC9D4C6}"/>
    <cellStyle name="Normal 9 3 2 8 2" xfId="9447" xr:uid="{06BBD7F2-7EC2-49C3-9D7A-76F143E83917}"/>
    <cellStyle name="Normal 9 3 2 9" xfId="7382" xr:uid="{DB8A78BA-AB97-40A4-8718-446B4FBD81A4}"/>
    <cellStyle name="Normal 9 3 3" xfId="535" xr:uid="{00000000-0005-0000-0000-0000C5030000}"/>
    <cellStyle name="Normal 9 3 3 10" xfId="2252" xr:uid="{D9F8FE26-AC02-454F-B47F-FED2A163E77D}"/>
    <cellStyle name="Normal 9 3 3 11" xfId="1423" xr:uid="{8CA09CDE-C4AD-46B7-A46C-1824B62CD767}"/>
    <cellStyle name="Normal 9 3 3 2" xfId="536" xr:uid="{00000000-0005-0000-0000-0000C6030000}"/>
    <cellStyle name="Normal 9 3 3 2 10" xfId="1424" xr:uid="{DEC896F6-1C2E-4BEF-A57A-2A5424781E7B}"/>
    <cellStyle name="Normal 9 3 3 2 2" xfId="1008" xr:uid="{00000000-0005-0000-0000-0000C7030000}"/>
    <cellStyle name="Normal 9 3 3 2 2 2" xfId="5727" xr:uid="{5021E770-802F-4873-B513-1BD27FD71AD0}"/>
    <cellStyle name="Normal 9 3 3 2 2 2 2" xfId="9945" xr:uid="{D7153D5D-24C2-44A6-83FA-692C460A5C9E}"/>
    <cellStyle name="Normal 9 3 3 2 2 3" xfId="7800" xr:uid="{2BB8C7D6-2140-42FE-9960-3AA7E40D9AF0}"/>
    <cellStyle name="Normal 9 3 3 2 2 4" xfId="3498" xr:uid="{B99A320E-6B1A-4050-A6A5-4E7343AC5704}"/>
    <cellStyle name="Normal 9 3 3 2 2 5" xfId="2669" xr:uid="{D9CF66D9-7C22-495D-B605-EE9FC1A27961}"/>
    <cellStyle name="Normal 9 3 3 2 2 6" xfId="1840" xr:uid="{643E07B9-BFA1-4BB3-9760-7CFCEAB2A1CB}"/>
    <cellStyle name="Normal 9 3 3 2 3" xfId="3911" xr:uid="{3A944DDB-A9DF-42E7-8EBA-2F0A59E6FD1A}"/>
    <cellStyle name="Normal 9 3 3 2 3 2" xfId="6140" xr:uid="{CCADD8E7-A7B5-4022-B7DB-9B1D0C72E506}"/>
    <cellStyle name="Normal 9 3 3 2 3 2 2" xfId="10358" xr:uid="{39E94E7A-C589-4394-9801-FBF571326B27}"/>
    <cellStyle name="Normal 9 3 3 2 3 3" xfId="8213" xr:uid="{6890313C-EBC5-43A9-B2CA-862BAC4D3897}"/>
    <cellStyle name="Normal 9 3 3 2 4" xfId="4324" xr:uid="{1911FD67-3A59-4C1B-923E-68B01FB9484F}"/>
    <cellStyle name="Normal 9 3 3 2 4 2" xfId="6553" xr:uid="{DA3AF5A8-533D-4F39-991C-AD011C238B81}"/>
    <cellStyle name="Normal 9 3 3 2 4 2 2" xfId="10771" xr:uid="{A5DD8564-0D6F-4C91-AF05-0C6B18915051}"/>
    <cellStyle name="Normal 9 3 3 2 4 3" xfId="8626" xr:uid="{33FE3AA3-7442-4944-ADAA-6EB98C64E9F9}"/>
    <cellStyle name="Normal 9 3 3 2 5" xfId="4737" xr:uid="{9F91C8C1-4EDD-42C3-90D5-C8226FA366A2}"/>
    <cellStyle name="Normal 9 3 3 2 5 2" xfId="6966" xr:uid="{C2D4FECB-930E-40E1-8FDF-27E2B042714B}"/>
    <cellStyle name="Normal 9 3 3 2 5 2 2" xfId="11184" xr:uid="{A6A7BD4B-2425-4C5A-959A-C122D3C586B3}"/>
    <cellStyle name="Normal 9 3 3 2 5 3" xfId="9039" xr:uid="{6CC5D38C-E106-40A1-A130-4091A6A6C434}"/>
    <cellStyle name="Normal 9 3 3 2 6" xfId="5173" xr:uid="{CBF66DE1-4DA1-4E63-BD3D-1962313D754F}"/>
    <cellStyle name="Normal 9 3 3 2 6 2" xfId="9452" xr:uid="{2712632D-7DEC-49C7-865D-4D55F5CE647D}"/>
    <cellStyle name="Normal 9 3 3 2 7" xfId="7387" xr:uid="{F5EE8DD0-30B0-447A-874E-3B4B68D2D9A6}"/>
    <cellStyle name="Normal 9 3 3 2 8" xfId="3083" xr:uid="{C887E8C2-AE05-4F76-9A15-06B78525167F}"/>
    <cellStyle name="Normal 9 3 3 2 9" xfId="2253" xr:uid="{3985FF95-6B25-4938-95AE-CC110A4D97CF}"/>
    <cellStyle name="Normal 9 3 3 3" xfId="1007" xr:uid="{00000000-0005-0000-0000-0000C8030000}"/>
    <cellStyle name="Normal 9 3 3 3 2" xfId="5726" xr:uid="{0C39F663-F730-491B-BBB4-16FA7EBEC47D}"/>
    <cellStyle name="Normal 9 3 3 3 2 2" xfId="9944" xr:uid="{DE29CCAA-51ED-4EEA-BFBE-5B7D53164D37}"/>
    <cellStyle name="Normal 9 3 3 3 3" xfId="7799" xr:uid="{A7DB693D-182C-4A54-9D42-1780C0E4BFFE}"/>
    <cellStyle name="Normal 9 3 3 3 4" xfId="3497" xr:uid="{649946B5-BF6F-489F-9824-2702306945DF}"/>
    <cellStyle name="Normal 9 3 3 3 5" xfId="2668" xr:uid="{D538685B-A54D-4BD8-8BBD-859424AA11FD}"/>
    <cellStyle name="Normal 9 3 3 3 6" xfId="1839" xr:uid="{D59B548C-A99B-4DF1-B697-676914224632}"/>
    <cellStyle name="Normal 9 3 3 4" xfId="3910" xr:uid="{0D40C6AA-BEB1-4FD7-BBD2-D08439F6C9DF}"/>
    <cellStyle name="Normal 9 3 3 4 2" xfId="6139" xr:uid="{2AE537FD-594C-4325-BF6B-D3EF7F9C78F2}"/>
    <cellStyle name="Normal 9 3 3 4 2 2" xfId="10357" xr:uid="{5BD2BE73-00C5-4162-99A4-50FDCEE4EFAD}"/>
    <cellStyle name="Normal 9 3 3 4 3" xfId="8212" xr:uid="{C7BB6E0E-0F85-435F-95BB-EF6C5247A2B9}"/>
    <cellStyle name="Normal 9 3 3 5" xfId="4323" xr:uid="{C0440903-B1A9-4BF8-8CB9-40FACD354316}"/>
    <cellStyle name="Normal 9 3 3 5 2" xfId="6552" xr:uid="{ABD721C6-90D5-49AD-BE88-4D667F200FE2}"/>
    <cellStyle name="Normal 9 3 3 5 2 2" xfId="10770" xr:uid="{5441990D-94C8-4CCB-B9E2-8AB72B0F36CF}"/>
    <cellStyle name="Normal 9 3 3 5 3" xfId="8625" xr:uid="{1E9494B4-0600-457D-B718-DB61DCEE7489}"/>
    <cellStyle name="Normal 9 3 3 6" xfId="4736" xr:uid="{7BD77473-5FB6-4A5B-9EC0-359950389622}"/>
    <cellStyle name="Normal 9 3 3 6 2" xfId="6965" xr:uid="{3F42B3BC-2509-4E09-8661-CC39793333DB}"/>
    <cellStyle name="Normal 9 3 3 6 2 2" xfId="11183" xr:uid="{859EDA9A-9140-46F9-AA0F-37FA0CE433CD}"/>
    <cellStyle name="Normal 9 3 3 6 3" xfId="9038" xr:uid="{5A4FB6EA-D8F9-4815-9BFB-21A5F574946A}"/>
    <cellStyle name="Normal 9 3 3 7" xfId="5172" xr:uid="{A1BC322C-1382-4E1F-9918-7D89EBF4F4DC}"/>
    <cellStyle name="Normal 9 3 3 7 2" xfId="9451" xr:uid="{602C7FEB-BDC9-4F73-BFDD-D4E63116CB62}"/>
    <cellStyle name="Normal 9 3 3 8" xfId="7386" xr:uid="{E56CBBC3-9865-4C51-9D61-FB4DEC6A7DD8}"/>
    <cellStyle name="Normal 9 3 3 9" xfId="3082" xr:uid="{D1BC6779-496A-4676-A5C4-B05C0079D8E2}"/>
    <cellStyle name="Normal 9 3 4" xfId="537" xr:uid="{00000000-0005-0000-0000-0000C9030000}"/>
    <cellStyle name="Normal 9 3 4 10" xfId="1425" xr:uid="{BA818A0D-06EC-4951-BC77-C2B9DE400FD7}"/>
    <cellStyle name="Normal 9 3 4 2" xfId="1009" xr:uid="{00000000-0005-0000-0000-0000CA030000}"/>
    <cellStyle name="Normal 9 3 4 2 2" xfId="5728" xr:uid="{6576B5F5-02C6-4DD1-AF54-30CDCBEB0C0A}"/>
    <cellStyle name="Normal 9 3 4 2 2 2" xfId="9946" xr:uid="{708439DE-0A84-4029-9FE4-37D599909998}"/>
    <cellStyle name="Normal 9 3 4 2 3" xfId="7801" xr:uid="{0EDB7712-F80F-4D24-94FC-97CBEEAE5586}"/>
    <cellStyle name="Normal 9 3 4 2 4" xfId="3499" xr:uid="{1C5284CB-43A7-443A-AD08-45BD341AA0C8}"/>
    <cellStyle name="Normal 9 3 4 2 5" xfId="2670" xr:uid="{588B1687-6815-4313-B1C7-1C5C95101569}"/>
    <cellStyle name="Normal 9 3 4 2 6" xfId="1841" xr:uid="{7FAFE88C-6E0D-4D34-8907-8DE527D12542}"/>
    <cellStyle name="Normal 9 3 4 3" xfId="3912" xr:uid="{9B6B798F-D760-42FB-912E-70B10340846A}"/>
    <cellStyle name="Normal 9 3 4 3 2" xfId="6141" xr:uid="{04FD7ED2-0ACA-4A12-A7A6-ADC0EEEF7035}"/>
    <cellStyle name="Normal 9 3 4 3 2 2" xfId="10359" xr:uid="{9A86C365-42E1-49E4-8877-7C272A515481}"/>
    <cellStyle name="Normal 9 3 4 3 3" xfId="8214" xr:uid="{8D0E2D82-DBC3-4413-8E90-843D2FBCD47D}"/>
    <cellStyle name="Normal 9 3 4 4" xfId="4325" xr:uid="{DA06EE4D-D5D1-4AC8-8E5C-C63EAFFE75D0}"/>
    <cellStyle name="Normal 9 3 4 4 2" xfId="6554" xr:uid="{2B76A469-AA6F-44A3-8783-2BB79CE63EF6}"/>
    <cellStyle name="Normal 9 3 4 4 2 2" xfId="10772" xr:uid="{187D0C0B-F98B-45CA-8894-2241618988A4}"/>
    <cellStyle name="Normal 9 3 4 4 3" xfId="8627" xr:uid="{9E603A5E-67AF-41F6-8121-B74EA24EE847}"/>
    <cellStyle name="Normal 9 3 4 5" xfId="4738" xr:uid="{20A888EF-3D36-4D53-8FCD-2922390CA674}"/>
    <cellStyle name="Normal 9 3 4 5 2" xfId="6967" xr:uid="{AFD2BD3A-3BF0-4EB7-8FB9-78D38ED70805}"/>
    <cellStyle name="Normal 9 3 4 5 2 2" xfId="11185" xr:uid="{50502610-B302-4ECF-B23F-E620579A058F}"/>
    <cellStyle name="Normal 9 3 4 5 3" xfId="9040" xr:uid="{0C55660F-0604-4A6A-A2E7-D05E24853DD7}"/>
    <cellStyle name="Normal 9 3 4 6" xfId="5174" xr:uid="{56C284F6-A344-44EA-B5E1-4837C0565314}"/>
    <cellStyle name="Normal 9 3 4 6 2" xfId="9453" xr:uid="{A9C118E1-514E-415B-B084-5A8DA301B744}"/>
    <cellStyle name="Normal 9 3 4 7" xfId="7388" xr:uid="{FA83D6B0-5D8C-4E3D-96C4-3C381458B666}"/>
    <cellStyle name="Normal 9 3 4 8" xfId="3084" xr:uid="{39F8E6A0-3F82-4B55-A83A-26AB5BF603D6}"/>
    <cellStyle name="Normal 9 3 4 9" xfId="2254" xr:uid="{356F4A14-B94A-45EB-B0E3-685C559FFF2B}"/>
    <cellStyle name="Normal 9 3 5" xfId="1002" xr:uid="{00000000-0005-0000-0000-0000CB030000}"/>
    <cellStyle name="Normal 9 3 5 2" xfId="5721" xr:uid="{F650A866-87B5-4F45-9B17-124ADB381DBA}"/>
    <cellStyle name="Normal 9 3 5 2 2" xfId="9939" xr:uid="{F7F5FA2D-57DF-472F-9125-03E46FF67F5F}"/>
    <cellStyle name="Normal 9 3 5 3" xfId="7794" xr:uid="{9C04C8DC-8FFB-498A-B613-2E8D002324ED}"/>
    <cellStyle name="Normal 9 3 5 4" xfId="3492" xr:uid="{C627AF5C-5B77-472A-A527-1B2752345E53}"/>
    <cellStyle name="Normal 9 3 5 5" xfId="2663" xr:uid="{4CA858C1-B6B5-4AF7-AEC6-90FD0DCB5BE0}"/>
    <cellStyle name="Normal 9 3 5 6" xfId="1834" xr:uid="{3CA97098-DCDE-44BC-99A4-B2F083EA9EBC}"/>
    <cellStyle name="Normal 9 3 6" xfId="3905" xr:uid="{FAB50FF7-02FE-41AA-AB1B-6EC7591E0229}"/>
    <cellStyle name="Normal 9 3 6 2" xfId="6134" xr:uid="{8D210DF5-CA9A-46C5-BB31-F9C732C59C06}"/>
    <cellStyle name="Normal 9 3 6 2 2" xfId="10352" xr:uid="{2DFE510E-B6C2-49B6-B122-1932863ABF68}"/>
    <cellStyle name="Normal 9 3 6 3" xfId="8207" xr:uid="{F25BBC75-B691-4843-94CC-F04B4C40AEEC}"/>
    <cellStyle name="Normal 9 3 7" xfId="4318" xr:uid="{2893A43D-4E11-4475-9DBC-CD248754A2F2}"/>
    <cellStyle name="Normal 9 3 7 2" xfId="6547" xr:uid="{D5CB7FE5-5E10-43DE-9B41-9968F766F1F0}"/>
    <cellStyle name="Normal 9 3 7 2 2" xfId="10765" xr:uid="{3D88B1A7-93CB-433C-881F-26FDA232A3E6}"/>
    <cellStyle name="Normal 9 3 7 3" xfId="8620" xr:uid="{F471C990-1BF1-4F2A-8D17-AB4300028225}"/>
    <cellStyle name="Normal 9 3 8" xfId="4731" xr:uid="{9E6FF22A-86E5-489E-8E87-C886B01691C1}"/>
    <cellStyle name="Normal 9 3 8 2" xfId="6960" xr:uid="{1D2C8110-B8C2-484B-B642-45D3DC3A0046}"/>
    <cellStyle name="Normal 9 3 8 2 2" xfId="11178" xr:uid="{C338A0B5-54BE-4A8A-A0CC-450903AE231F}"/>
    <cellStyle name="Normal 9 3 8 3" xfId="9033" xr:uid="{D09810E8-A11C-4588-8881-4CA90FAFCA27}"/>
    <cellStyle name="Normal 9 3 9" xfId="5167" xr:uid="{2DFCCDB6-4B12-47C2-93A7-F4C2A7C7E6BE}"/>
    <cellStyle name="Normal 9 3 9 2" xfId="9446" xr:uid="{98D62B29-4342-4CA8-ACAC-5E766A770233}"/>
    <cellStyle name="Normal 9 4" xfId="538" xr:uid="{00000000-0005-0000-0000-0000CC030000}"/>
    <cellStyle name="Normal 9 4 2" xfId="1010" xr:uid="{00000000-0005-0000-0000-0000CD030000}"/>
    <cellStyle name="Normal 9 5" xfId="539" xr:uid="{00000000-0005-0000-0000-0000CE030000}"/>
    <cellStyle name="Normal 9 5 10" xfId="2255" xr:uid="{100D818B-71A8-4772-BD59-25F32F681B74}"/>
    <cellStyle name="Normal 9 5 11" xfId="1426" xr:uid="{4EAE3803-D9A5-4F75-B8C2-C81051770A94}"/>
    <cellStyle name="Normal 9 5 2" xfId="540" xr:uid="{00000000-0005-0000-0000-0000CF030000}"/>
    <cellStyle name="Normal 9 5 2 10" xfId="1427" xr:uid="{2A78FC9A-7E81-42BD-AB77-730342ABFD8B}"/>
    <cellStyle name="Normal 9 5 2 2" xfId="1012" xr:uid="{00000000-0005-0000-0000-0000D0030000}"/>
    <cellStyle name="Normal 9 5 2 2 2" xfId="5730" xr:uid="{29C65540-BD66-4E90-B812-F49B8E951270}"/>
    <cellStyle name="Normal 9 5 2 2 2 2" xfId="9948" xr:uid="{E7C8AF1C-A039-4AEB-B77D-B96F8D063DCD}"/>
    <cellStyle name="Normal 9 5 2 2 3" xfId="7803" xr:uid="{F77B7B27-9DCF-404B-94C4-1E6FD750036B}"/>
    <cellStyle name="Normal 9 5 2 2 4" xfId="3501" xr:uid="{FDA1CCE0-B35F-4FEB-ACFD-0EA2B84D0741}"/>
    <cellStyle name="Normal 9 5 2 2 5" xfId="2672" xr:uid="{AD5B576A-58D8-49B5-82C2-63173C156560}"/>
    <cellStyle name="Normal 9 5 2 2 6" xfId="1843" xr:uid="{85CC2FFF-79E8-4BA0-8729-D600B9241D59}"/>
    <cellStyle name="Normal 9 5 2 3" xfId="3914" xr:uid="{06EE02E6-80A7-4F2C-8DDC-8BC4B3118CC2}"/>
    <cellStyle name="Normal 9 5 2 3 2" xfId="6143" xr:uid="{C23E639D-B635-4BAB-84E9-A351FB48CD78}"/>
    <cellStyle name="Normal 9 5 2 3 2 2" xfId="10361" xr:uid="{B29B4298-132C-4D61-A1FA-D526E629074E}"/>
    <cellStyle name="Normal 9 5 2 3 3" xfId="8216" xr:uid="{30878DA9-E156-4A21-BB7E-E479E5D8B0E4}"/>
    <cellStyle name="Normal 9 5 2 4" xfId="4327" xr:uid="{9111636D-AB9A-4A6A-BB8A-ED758770EC43}"/>
    <cellStyle name="Normal 9 5 2 4 2" xfId="6556" xr:uid="{C8BB49A5-9CB3-44DC-9A7C-DD2F421833DC}"/>
    <cellStyle name="Normal 9 5 2 4 2 2" xfId="10774" xr:uid="{8380ECC0-16E2-48E5-8AE5-3C645E64F9E4}"/>
    <cellStyle name="Normal 9 5 2 4 3" xfId="8629" xr:uid="{B3763B89-9889-415D-98B4-423BB715791A}"/>
    <cellStyle name="Normal 9 5 2 5" xfId="4740" xr:uid="{EE04D5AB-E1BF-4821-86CA-4EDCD4C4DD7D}"/>
    <cellStyle name="Normal 9 5 2 5 2" xfId="6969" xr:uid="{0A56875A-8CF4-42B5-804D-FD53C6B7785E}"/>
    <cellStyle name="Normal 9 5 2 5 2 2" xfId="11187" xr:uid="{F40FC309-A5E8-4D73-8FC8-14B85D76ABE3}"/>
    <cellStyle name="Normal 9 5 2 5 3" xfId="9042" xr:uid="{2896D629-E814-40CD-B277-7995ADAA568F}"/>
    <cellStyle name="Normal 9 5 2 6" xfId="5176" xr:uid="{1CE42BBB-8D03-417D-9C71-7C22D793CDBF}"/>
    <cellStyle name="Normal 9 5 2 6 2" xfId="9455" xr:uid="{13D68585-B250-49BF-9747-EE368D4CFE49}"/>
    <cellStyle name="Normal 9 5 2 7" xfId="7390" xr:uid="{1876FA62-1DAE-4570-AA77-C9D7E73E926D}"/>
    <cellStyle name="Normal 9 5 2 8" xfId="3086" xr:uid="{BDBA5CCA-B712-40FF-85C8-70842612979B}"/>
    <cellStyle name="Normal 9 5 2 9" xfId="2256" xr:uid="{B6319EBD-A90F-426F-90B6-8D1B4C660FDB}"/>
    <cellStyle name="Normal 9 5 3" xfId="1011" xr:uid="{00000000-0005-0000-0000-0000D1030000}"/>
    <cellStyle name="Normal 9 5 3 2" xfId="5729" xr:uid="{7D6ECAB8-4606-4ECC-99BF-ADA57C4B22E8}"/>
    <cellStyle name="Normal 9 5 3 2 2" xfId="9947" xr:uid="{EBB5944E-184F-49F1-9D59-9E60BEE2F749}"/>
    <cellStyle name="Normal 9 5 3 3" xfId="7802" xr:uid="{6CCDDF79-18F3-475D-AF94-CFB7CF4F9AA3}"/>
    <cellStyle name="Normal 9 5 3 4" xfId="3500" xr:uid="{3FF59BBB-BF1A-4FAC-AC9A-AFBBBBB62FE8}"/>
    <cellStyle name="Normal 9 5 3 5" xfId="2671" xr:uid="{DFE79608-F25B-487B-B0F4-E1F25C85E245}"/>
    <cellStyle name="Normal 9 5 3 6" xfId="1842" xr:uid="{352666CB-0178-4B2D-927C-6098F48BDB9E}"/>
    <cellStyle name="Normal 9 5 4" xfId="3913" xr:uid="{C2E351F2-9E23-41E7-9098-A22959FAE924}"/>
    <cellStyle name="Normal 9 5 4 2" xfId="6142" xr:uid="{DF7C89B0-A2E3-45D1-9428-B9C205B9C5DF}"/>
    <cellStyle name="Normal 9 5 4 2 2" xfId="10360" xr:uid="{DC13E7E9-A570-42DA-82B5-6166843ADA2C}"/>
    <cellStyle name="Normal 9 5 4 3" xfId="8215" xr:uid="{4A7FBF1C-0B37-4226-B1D0-3274BE123EC3}"/>
    <cellStyle name="Normal 9 5 5" xfId="4326" xr:uid="{4B1FFB71-1910-44F6-AAA8-14EA4530E03E}"/>
    <cellStyle name="Normal 9 5 5 2" xfId="6555" xr:uid="{88C7B93B-BC8F-4453-98EC-4E89EB550BC0}"/>
    <cellStyle name="Normal 9 5 5 2 2" xfId="10773" xr:uid="{DEB7F0F6-A45F-4C9F-8E33-01D18E10BCF9}"/>
    <cellStyle name="Normal 9 5 5 3" xfId="8628" xr:uid="{C78068FF-9FCC-4937-A449-3587B98430A3}"/>
    <cellStyle name="Normal 9 5 6" xfId="4739" xr:uid="{A2B6FA8F-F0C4-4C75-8E8A-82816084B5C7}"/>
    <cellStyle name="Normal 9 5 6 2" xfId="6968" xr:uid="{D4C319B6-F44E-4311-9178-A9342E6AF3A3}"/>
    <cellStyle name="Normal 9 5 6 2 2" xfId="11186" xr:uid="{B6ED3F5D-CAAC-4B62-8831-C9A99083F061}"/>
    <cellStyle name="Normal 9 5 6 3" xfId="9041" xr:uid="{A0C5A0B2-F591-4BC9-9832-B95CE23CDD53}"/>
    <cellStyle name="Normal 9 5 7" xfId="5175" xr:uid="{98E6587C-7C33-4947-A647-6E46CA6EFA7E}"/>
    <cellStyle name="Normal 9 5 7 2" xfId="9454" xr:uid="{532B756F-C86F-4986-8A5F-F7845D277265}"/>
    <cellStyle name="Normal 9 5 8" xfId="7389" xr:uid="{3AC562E7-67C0-4180-BB85-2086110F0A55}"/>
    <cellStyle name="Normal 9 5 9" xfId="3085" xr:uid="{CC7885F7-86B0-47A9-AB3D-D1DDC8EE7D39}"/>
    <cellStyle name="Normal 9 6" xfId="541" xr:uid="{00000000-0005-0000-0000-0000D2030000}"/>
    <cellStyle name="Normal 9 6 10" xfId="1428" xr:uid="{5A5762AB-D7C5-4DAD-8EBC-0E42A005EC0E}"/>
    <cellStyle name="Normal 9 6 2" xfId="1013" xr:uid="{00000000-0005-0000-0000-0000D3030000}"/>
    <cellStyle name="Normal 9 6 2 2" xfId="5731" xr:uid="{2FBD20E2-F2A9-4D80-9415-34B80E841910}"/>
    <cellStyle name="Normal 9 6 2 2 2" xfId="9949" xr:uid="{3465DFBA-3084-4868-937F-7095C3B71483}"/>
    <cellStyle name="Normal 9 6 2 3" xfId="7804" xr:uid="{B8B41776-CDAE-4BE9-9BC2-7169F28535E5}"/>
    <cellStyle name="Normal 9 6 2 4" xfId="3502" xr:uid="{7067A46D-46A1-4710-AFAE-0D299CB9E175}"/>
    <cellStyle name="Normal 9 6 2 5" xfId="2673" xr:uid="{1BDB5DB0-E700-433A-9BCB-06E2CD0D5127}"/>
    <cellStyle name="Normal 9 6 2 6" xfId="1844" xr:uid="{27E8BE9A-8C2F-47B8-9964-439C6BD1AD1E}"/>
    <cellStyle name="Normal 9 6 3" xfId="3915" xr:uid="{269CBCF9-9C5F-4A15-85F2-A3F5EF6FB5C5}"/>
    <cellStyle name="Normal 9 6 3 2" xfId="6144" xr:uid="{F2AB86FA-5E45-4387-9311-BA8FA6F6B28A}"/>
    <cellStyle name="Normal 9 6 3 2 2" xfId="10362" xr:uid="{A6C5BDB1-A1C9-4D47-A4DC-03F1A59B4DDD}"/>
    <cellStyle name="Normal 9 6 3 3" xfId="8217" xr:uid="{E7E8F506-A426-4AD1-9252-948E54826175}"/>
    <cellStyle name="Normal 9 6 4" xfId="4328" xr:uid="{E10DD3F9-9071-4A28-93FD-820C87359057}"/>
    <cellStyle name="Normal 9 6 4 2" xfId="6557" xr:uid="{B2F27942-E678-459A-9B2F-25294852E599}"/>
    <cellStyle name="Normal 9 6 4 2 2" xfId="10775" xr:uid="{38CE91D6-E2AB-4E1B-89F2-DAE610805B4E}"/>
    <cellStyle name="Normal 9 6 4 3" xfId="8630" xr:uid="{45F1797C-8533-4F25-A93D-E31A2F6C61C1}"/>
    <cellStyle name="Normal 9 6 5" xfId="4741" xr:uid="{4243A31E-48D3-4614-A851-189563936F06}"/>
    <cellStyle name="Normal 9 6 5 2" xfId="6970" xr:uid="{7A433CB6-8391-42AB-BE9B-F63A167F8396}"/>
    <cellStyle name="Normal 9 6 5 2 2" xfId="11188" xr:uid="{BA3633ED-434F-4B80-BA4D-E81BED61E75D}"/>
    <cellStyle name="Normal 9 6 5 3" xfId="9043" xr:uid="{38AB1704-5A9A-44B5-A7FE-588C444493CE}"/>
    <cellStyle name="Normal 9 6 6" xfId="5177" xr:uid="{7BCACEC2-4916-493B-8568-99EFAD716882}"/>
    <cellStyle name="Normal 9 6 6 2" xfId="9456" xr:uid="{36D70BFA-8A05-49C9-8AD6-D8724D4F55E1}"/>
    <cellStyle name="Normal 9 6 7" xfId="7391" xr:uid="{A797DCE6-6EC5-4801-BC43-EF5EDD6A9735}"/>
    <cellStyle name="Normal 9 6 8" xfId="3087" xr:uid="{90B808CC-4602-45F5-9FBA-C8A76FFA1493}"/>
    <cellStyle name="Normal 9 6 9" xfId="2257" xr:uid="{AA730F65-7325-4DBE-BB06-E66746AE7F32}"/>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5318" xr:uid="{2BF922E6-B529-417D-81E7-DD4F183E0691}"/>
    <cellStyle name="Note 2 2 10 2" xfId="9537" xr:uid="{C3482D7B-F1D1-4A45-BF7F-ED84EDEA8BA5}"/>
    <cellStyle name="Note 2 2 11" xfId="7392" xr:uid="{4CC01D74-C224-4CB3-B301-7C7BA0F42EFF}"/>
    <cellStyle name="Note 2 2 12" xfId="3088" xr:uid="{155E419A-8750-46DB-9356-ADB6BBD8AABD}"/>
    <cellStyle name="Note 2 2 13" xfId="2258" xr:uid="{38E95138-8168-43DF-B42D-27984B7E79BB}"/>
    <cellStyle name="Note 2 2 14" xfId="1429" xr:uid="{A7FF79A0-8308-4A93-B724-06D4B82730DE}"/>
    <cellStyle name="Note 2 2 2" xfId="550" xr:uid="{00000000-0005-0000-0000-0000DD030000}"/>
    <cellStyle name="Note 2 2 2 10" xfId="7393" xr:uid="{C70E2694-F40A-4532-A800-F120B5A2FB8A}"/>
    <cellStyle name="Note 2 2 2 11" xfId="3089" xr:uid="{3F7FD588-FC83-4821-AAD7-537AF2927CF1}"/>
    <cellStyle name="Note 2 2 2 12" xfId="2259" xr:uid="{B895116C-6E35-456A-A491-31D6DD586011}"/>
    <cellStyle name="Note 2 2 2 13" xfId="1430" xr:uid="{349D8F3A-ED41-4444-8A3D-3A8703058AC7}"/>
    <cellStyle name="Note 2 2 2 2" xfId="551" xr:uid="{00000000-0005-0000-0000-0000DE030000}"/>
    <cellStyle name="Note 2 2 2 2 10" xfId="3090" xr:uid="{C6AC1CDF-29B0-4456-AE90-CD7037280BAF}"/>
    <cellStyle name="Note 2 2 2 2 11" xfId="2260" xr:uid="{8B47DE9F-31F8-48A6-B1EE-26E2C2D4D62C}"/>
    <cellStyle name="Note 2 2 2 2 12" xfId="1431" xr:uid="{8B86E715-80E4-4393-804B-648FB05DE13E}"/>
    <cellStyle name="Note 2 2 2 2 2" xfId="1016" xr:uid="{00000000-0005-0000-0000-0000DF030000}"/>
    <cellStyle name="Note 2 2 2 2 2 2" xfId="5734" xr:uid="{3441F703-EC70-4E37-AD71-F531F4CC792B}"/>
    <cellStyle name="Note 2 2 2 2 2 2 2" xfId="9952" xr:uid="{71F8985E-2802-4F77-951D-C103CA7C14B2}"/>
    <cellStyle name="Note 2 2 2 2 2 3" xfId="7807" xr:uid="{C14D7070-F5AE-408F-9FDB-614E8547F1F2}"/>
    <cellStyle name="Note 2 2 2 2 2 4" xfId="3505" xr:uid="{00DEA75B-CF90-4D31-AA9E-BF4B545FEDC8}"/>
    <cellStyle name="Note 2 2 2 2 2 5" xfId="2676" xr:uid="{8A5E77FC-61DB-4243-9F31-5B44BE3EA102}"/>
    <cellStyle name="Note 2 2 2 2 2 6" xfId="1847" xr:uid="{9F4B4319-B1CC-4295-BFA9-66F53F761EC7}"/>
    <cellStyle name="Note 2 2 2 2 3" xfId="3918" xr:uid="{42E18EC0-C4F6-4C13-A45C-AC3DF0716FFE}"/>
    <cellStyle name="Note 2 2 2 2 3 2" xfId="6147" xr:uid="{85952506-77D7-4E2F-9BAB-8C83E3A17B4A}"/>
    <cellStyle name="Note 2 2 2 2 3 2 2" xfId="10365" xr:uid="{BB8BDD5A-FEF9-459A-A150-4848A45E7CDF}"/>
    <cellStyle name="Note 2 2 2 2 3 3" xfId="8220" xr:uid="{4025C108-E45F-4684-BE5C-5B569B4C3C5A}"/>
    <cellStyle name="Note 2 2 2 2 4" xfId="4331" xr:uid="{3CD4BE48-63E0-48F1-A092-D49FF694DC9D}"/>
    <cellStyle name="Note 2 2 2 2 4 2" xfId="6560" xr:uid="{E53FF9D5-61BB-4B88-9328-DC33CE6EDB69}"/>
    <cellStyle name="Note 2 2 2 2 4 2 2" xfId="10778" xr:uid="{FD1BE56E-C912-4521-999E-FD36DA0A5410}"/>
    <cellStyle name="Note 2 2 2 2 4 3" xfId="8633" xr:uid="{B15614AD-C79B-4ED9-8B1A-B41A8210FF82}"/>
    <cellStyle name="Note 2 2 2 2 5" xfId="4744" xr:uid="{F8254F73-A661-4BE4-9E9A-CF30FA261F70}"/>
    <cellStyle name="Note 2 2 2 2 5 2" xfId="6973" xr:uid="{C68D4C7A-FCAE-4DAE-95A9-40065D8C852B}"/>
    <cellStyle name="Note 2 2 2 2 5 2 2" xfId="11191" xr:uid="{FC3539C8-D45B-4F7A-A42C-283F4BA58192}"/>
    <cellStyle name="Note 2 2 2 2 5 3" xfId="9046" xr:uid="{2BA651E4-B161-4709-B15A-25C9855374A8}"/>
    <cellStyle name="Note 2 2 2 2 6" xfId="5180" xr:uid="{D64D2718-DEEE-435B-9347-65892BE405D3}"/>
    <cellStyle name="Note 2 2 2 2 6 2" xfId="9459" xr:uid="{CE1B9BFE-8C9D-480F-81B2-14385B49305B}"/>
    <cellStyle name="Note 2 2 2 2 7" xfId="5239" xr:uid="{CF8B4AEE-8482-4F8C-9AEE-DA2A4A9D2749}"/>
    <cellStyle name="Note 2 2 2 2 8" xfId="5320" xr:uid="{81EDF66B-AC4A-44EC-8179-9FF4CEBD7DE1}"/>
    <cellStyle name="Note 2 2 2 2 8 2" xfId="9539" xr:uid="{94E82246-CDA0-4359-8769-4BCBC4C5CB5B}"/>
    <cellStyle name="Note 2 2 2 2 9" xfId="7394" xr:uid="{2BC8464D-4563-496B-B96B-7376E9F50EA9}"/>
    <cellStyle name="Note 2 2 2 3" xfId="1015" xr:uid="{00000000-0005-0000-0000-0000E0030000}"/>
    <cellStyle name="Note 2 2 2 3 2" xfId="5733" xr:uid="{B25963F7-6C3C-4E6B-8BBF-3D1A2A761B32}"/>
    <cellStyle name="Note 2 2 2 3 2 2" xfId="9951" xr:uid="{4AC5C051-CFF6-4914-90EB-C6C0862DC529}"/>
    <cellStyle name="Note 2 2 2 3 3" xfId="7806" xr:uid="{B3462CCA-7E27-4D46-BFA6-02B7E26AEA4C}"/>
    <cellStyle name="Note 2 2 2 3 4" xfId="3504" xr:uid="{0A085740-3086-4CD8-8C9F-CEC9A5B2422F}"/>
    <cellStyle name="Note 2 2 2 3 5" xfId="2675" xr:uid="{9CC7702F-B513-416A-95E5-A04FFA3D37BE}"/>
    <cellStyle name="Note 2 2 2 3 6" xfId="1846" xr:uid="{3E23A0ED-4E24-4458-8F19-5D8A53EDF721}"/>
    <cellStyle name="Note 2 2 2 4" xfId="3917" xr:uid="{F84AE727-7C09-478B-BB1F-FC75C253744D}"/>
    <cellStyle name="Note 2 2 2 4 2" xfId="6146" xr:uid="{6A936181-039F-42A3-95D0-1B6D86CD840D}"/>
    <cellStyle name="Note 2 2 2 4 2 2" xfId="10364" xr:uid="{9F733382-8C56-4DC7-8A2C-D4ED707451D5}"/>
    <cellStyle name="Note 2 2 2 4 3" xfId="8219" xr:uid="{1F13EF89-C5A8-42DE-97A9-F29D1EAA80E0}"/>
    <cellStyle name="Note 2 2 2 5" xfId="4330" xr:uid="{A1798823-4FBD-44C2-AC4B-539D74D5E916}"/>
    <cellStyle name="Note 2 2 2 5 2" xfId="6559" xr:uid="{D3DC43D5-BBD9-4C6E-A883-7889A7FF6BA5}"/>
    <cellStyle name="Note 2 2 2 5 2 2" xfId="10777" xr:uid="{5E3D9A0C-79EE-49C0-AC4C-8C6733321937}"/>
    <cellStyle name="Note 2 2 2 5 3" xfId="8632" xr:uid="{BFE55DF1-5154-4D26-81DD-A7BC4B8757E5}"/>
    <cellStyle name="Note 2 2 2 6" xfId="4743" xr:uid="{18850BB7-234F-4E56-99D1-242CB6F5737C}"/>
    <cellStyle name="Note 2 2 2 6 2" xfId="6972" xr:uid="{4ED63E0C-089D-4FE7-B328-D776795A172B}"/>
    <cellStyle name="Note 2 2 2 6 2 2" xfId="11190" xr:uid="{3A12D5ED-F656-4F50-B3DC-C31B749C527E}"/>
    <cellStyle name="Note 2 2 2 6 3" xfId="9045" xr:uid="{28134AC8-E079-42B5-8369-05692EF7F8AF}"/>
    <cellStyle name="Note 2 2 2 7" xfId="5179" xr:uid="{8645677B-CBED-4643-9DEB-8FB3E2DB56A8}"/>
    <cellStyle name="Note 2 2 2 7 2" xfId="9458" xr:uid="{DFA9DDB5-635F-4B17-B02E-C816601E3CD3}"/>
    <cellStyle name="Note 2 2 2 8" xfId="5238" xr:uid="{241EB794-CCCC-41FC-A31A-8EB0E01215B7}"/>
    <cellStyle name="Note 2 2 2 9" xfId="5319" xr:uid="{0F7F5598-752A-4C73-999C-46A49937F7CE}"/>
    <cellStyle name="Note 2 2 2 9 2" xfId="9538" xr:uid="{CFF1785D-8E92-41EC-8418-5493619340B0}"/>
    <cellStyle name="Note 2 2 3" xfId="552" xr:uid="{00000000-0005-0000-0000-0000E1030000}"/>
    <cellStyle name="Note 2 2 3 10" xfId="3091" xr:uid="{09EAFCEB-4E36-46A1-8B01-F60E477ED3AE}"/>
    <cellStyle name="Note 2 2 3 11" xfId="2261" xr:uid="{25291C60-3336-45F0-B3E1-B8DCFDA734B2}"/>
    <cellStyle name="Note 2 2 3 12" xfId="1432" xr:uid="{751EB02A-AC5B-4BBC-B6DA-E308E17E16A5}"/>
    <cellStyle name="Note 2 2 3 2" xfId="1017" xr:uid="{00000000-0005-0000-0000-0000E2030000}"/>
    <cellStyle name="Note 2 2 3 2 2" xfId="5735" xr:uid="{76602514-8587-403F-A4FA-AAF8A27A1B02}"/>
    <cellStyle name="Note 2 2 3 2 2 2" xfId="9953" xr:uid="{2E40B5EA-C6AC-4D90-AAE9-523D76FE1A36}"/>
    <cellStyle name="Note 2 2 3 2 3" xfId="7808" xr:uid="{5DA4D980-84E2-4D26-BA1F-247E8EB19F0A}"/>
    <cellStyle name="Note 2 2 3 2 4" xfId="3506" xr:uid="{6AC1C3F0-2B79-4BB0-A287-0755A8E84C73}"/>
    <cellStyle name="Note 2 2 3 2 5" xfId="2677" xr:uid="{7B035B11-6A5E-4DA8-8217-9166E92951BD}"/>
    <cellStyle name="Note 2 2 3 2 6" xfId="1848" xr:uid="{FC8B4BCF-9EC9-4C34-9F29-CBB6344198F8}"/>
    <cellStyle name="Note 2 2 3 3" xfId="3919" xr:uid="{F23E82F1-5CAF-41BC-A75C-7CADF7D0F26E}"/>
    <cellStyle name="Note 2 2 3 3 2" xfId="6148" xr:uid="{17AB56A9-C164-45F4-914E-B40A6177B907}"/>
    <cellStyle name="Note 2 2 3 3 2 2" xfId="10366" xr:uid="{BD799660-53DE-4749-9A2C-4D80821B66E0}"/>
    <cellStyle name="Note 2 2 3 3 3" xfId="8221" xr:uid="{C7A3E716-8C5E-4D28-9DFA-92E7297445DA}"/>
    <cellStyle name="Note 2 2 3 4" xfId="4332" xr:uid="{13EEC3D5-487C-4D98-8F10-B256EF8C2AB3}"/>
    <cellStyle name="Note 2 2 3 4 2" xfId="6561" xr:uid="{815B932C-263D-4E56-B9A4-38C2632BAF94}"/>
    <cellStyle name="Note 2 2 3 4 2 2" xfId="10779" xr:uid="{70132F03-BC79-49C9-9AD5-C7FD50550D6A}"/>
    <cellStyle name="Note 2 2 3 4 3" xfId="8634" xr:uid="{78AB06CF-834D-4FBC-AD7F-C88EEC77E294}"/>
    <cellStyle name="Note 2 2 3 5" xfId="4745" xr:uid="{4E881A4E-A14A-41B4-B8D4-DB8494339BE7}"/>
    <cellStyle name="Note 2 2 3 5 2" xfId="6974" xr:uid="{AB9B0346-CC98-452A-862A-6756A807D638}"/>
    <cellStyle name="Note 2 2 3 5 2 2" xfId="11192" xr:uid="{AF67DD00-9727-43AF-879A-9220BDE2E933}"/>
    <cellStyle name="Note 2 2 3 5 3" xfId="9047" xr:uid="{70376118-259E-465A-B062-1F9718ECBBF9}"/>
    <cellStyle name="Note 2 2 3 6" xfId="5181" xr:uid="{CD597C2E-611C-42CA-8925-6FDAA1BBF507}"/>
    <cellStyle name="Note 2 2 3 6 2" xfId="9460" xr:uid="{F5F2A5CC-26AB-4B0A-9C9D-A5327A793809}"/>
    <cellStyle name="Note 2 2 3 7" xfId="5240" xr:uid="{57DD66D7-F8EE-4541-A6FD-D8422B296936}"/>
    <cellStyle name="Note 2 2 3 8" xfId="5321" xr:uid="{69B62AB7-22ED-47DE-8B67-3AD6374D3CE9}"/>
    <cellStyle name="Note 2 2 3 8 2" xfId="9540" xr:uid="{D6DD7051-395F-4172-9759-208E8D2349FB}"/>
    <cellStyle name="Note 2 2 3 9" xfId="7395" xr:uid="{C2CFFD55-344F-45F2-9A12-1CB4CD48BB85}"/>
    <cellStyle name="Note 2 2 4" xfId="1014" xr:uid="{00000000-0005-0000-0000-0000E3030000}"/>
    <cellStyle name="Note 2 2 4 2" xfId="5732" xr:uid="{F7615183-BAE0-4D3F-BA46-B8C9AE1CE9DF}"/>
    <cellStyle name="Note 2 2 4 2 2" xfId="9950" xr:uid="{150FD9CF-A7B5-4167-912A-78C419BF7690}"/>
    <cellStyle name="Note 2 2 4 3" xfId="7805" xr:uid="{6F99A0C6-6C74-45B2-83FF-EE31AC8E4C01}"/>
    <cellStyle name="Note 2 2 4 4" xfId="3503" xr:uid="{4A53FF17-3F61-4C59-BE92-3A77CCC46E42}"/>
    <cellStyle name="Note 2 2 4 5" xfId="2674" xr:uid="{0514E474-01EA-43E0-A656-CC6968F3021A}"/>
    <cellStyle name="Note 2 2 4 6" xfId="1845" xr:uid="{067D5202-D849-46CB-915E-793C5964C0BE}"/>
    <cellStyle name="Note 2 2 5" xfId="3916" xr:uid="{2A51F199-61CA-4D2D-AAD8-2CB81D9A4224}"/>
    <cellStyle name="Note 2 2 5 2" xfId="6145" xr:uid="{B3DA9564-AE24-4187-80DE-D13C2B33521B}"/>
    <cellStyle name="Note 2 2 5 2 2" xfId="10363" xr:uid="{3308A76A-2DAD-4328-9637-E0BD1DEFE0A2}"/>
    <cellStyle name="Note 2 2 5 3" xfId="8218" xr:uid="{09099EC2-1096-47FF-9CAF-AA178137C255}"/>
    <cellStyle name="Note 2 2 6" xfId="4329" xr:uid="{4BD88EA3-D57D-4CF4-BE39-8BC8510030E1}"/>
    <cellStyle name="Note 2 2 6 2" xfId="6558" xr:uid="{9A174E62-2076-4974-BD74-12DF9554E337}"/>
    <cellStyle name="Note 2 2 6 2 2" xfId="10776" xr:uid="{05FCD42A-8659-4D85-9191-10272A202F32}"/>
    <cellStyle name="Note 2 2 6 3" xfId="8631" xr:uid="{33196B4F-BC5B-43ED-8646-EDDAC81DE1A2}"/>
    <cellStyle name="Note 2 2 7" xfId="4742" xr:uid="{6DB7BC9E-5EEA-4959-95E9-F73DFFF9A99B}"/>
    <cellStyle name="Note 2 2 7 2" xfId="6971" xr:uid="{B8CB88F9-81F4-45A9-9F29-91598289E143}"/>
    <cellStyle name="Note 2 2 7 2 2" xfId="11189" xr:uid="{17E4A5D5-8FB7-43F2-B416-5852AA13C72B}"/>
    <cellStyle name="Note 2 2 7 3" xfId="9044" xr:uid="{17E5EA73-AB7E-4427-AD9F-6552BC5630BD}"/>
    <cellStyle name="Note 2 2 8" xfId="5178" xr:uid="{10DB97BC-FB8D-4CAD-A588-D38F8B460E3E}"/>
    <cellStyle name="Note 2 2 8 2" xfId="9457" xr:uid="{C6B3BEA8-F4D5-4E3D-BB08-E2C20DDC64CB}"/>
    <cellStyle name="Note 2 2 9" xfId="5237" xr:uid="{F3450853-CB75-42F6-9DAA-2C9DD25BDE22}"/>
    <cellStyle name="Note 2 3" xfId="553" xr:uid="{00000000-0005-0000-0000-0000E4030000}"/>
    <cellStyle name="Note 2 3 10" xfId="7396" xr:uid="{DE56A741-4EA0-4B11-9440-60C04646DB39}"/>
    <cellStyle name="Note 2 3 11" xfId="3092" xr:uid="{33C67131-A425-49AE-BE88-75858EC39337}"/>
    <cellStyle name="Note 2 3 12" xfId="2262" xr:uid="{9F6F9576-7752-4F9E-BB46-0E462501C585}"/>
    <cellStyle name="Note 2 3 13" xfId="1433" xr:uid="{49373155-CB60-43EE-A176-A238DCF98E10}"/>
    <cellStyle name="Note 2 3 2" xfId="554" xr:uid="{00000000-0005-0000-0000-0000E5030000}"/>
    <cellStyle name="Note 2 3 2 10" xfId="3093" xr:uid="{AF03F71D-1BB7-4236-AA5E-AE6B52BA042A}"/>
    <cellStyle name="Note 2 3 2 11" xfId="2263" xr:uid="{F46F6875-63FB-4F70-BDC7-7820D570077F}"/>
    <cellStyle name="Note 2 3 2 12" xfId="1434" xr:uid="{52DA30A4-2E57-419B-BE93-A0CA0AB6B8E2}"/>
    <cellStyle name="Note 2 3 2 2" xfId="1019" xr:uid="{00000000-0005-0000-0000-0000E6030000}"/>
    <cellStyle name="Note 2 3 2 2 2" xfId="5737" xr:uid="{E472C220-5425-4F86-854D-BA81C5937DB0}"/>
    <cellStyle name="Note 2 3 2 2 2 2" xfId="9955" xr:uid="{C4F7E945-12C2-4B59-A169-EAE858502BEB}"/>
    <cellStyle name="Note 2 3 2 2 3" xfId="7810" xr:uid="{CE28DE96-CB95-4AAC-8CFE-A17C669FA938}"/>
    <cellStyle name="Note 2 3 2 2 4" xfId="3508" xr:uid="{3B4F6227-FBE9-4FB5-8EAC-DDA3C72810F7}"/>
    <cellStyle name="Note 2 3 2 2 5" xfId="2679" xr:uid="{6C957566-C096-4622-A0DA-50857CAC812C}"/>
    <cellStyle name="Note 2 3 2 2 6" xfId="1850" xr:uid="{0D7BAE40-A07A-4C27-8208-5D594691EFCB}"/>
    <cellStyle name="Note 2 3 2 3" xfId="3921" xr:uid="{B6A1F809-65FC-46AF-896F-D9568C6D98E7}"/>
    <cellStyle name="Note 2 3 2 3 2" xfId="6150" xr:uid="{00576AC9-3D01-4755-BA2D-F03BE48E1938}"/>
    <cellStyle name="Note 2 3 2 3 2 2" xfId="10368" xr:uid="{C21ABBF8-BBB9-4664-BECC-B74FBF0E7AF6}"/>
    <cellStyle name="Note 2 3 2 3 3" xfId="8223" xr:uid="{D9AFAA3B-ACBC-45C2-B080-7B26C8C3D821}"/>
    <cellStyle name="Note 2 3 2 4" xfId="4334" xr:uid="{2C830A47-64A4-4243-9BF2-44AB9A6B5E43}"/>
    <cellStyle name="Note 2 3 2 4 2" xfId="6563" xr:uid="{00996D5B-0F85-4AB7-9093-5DDDEC7DCEAC}"/>
    <cellStyle name="Note 2 3 2 4 2 2" xfId="10781" xr:uid="{A7792866-C94F-43A7-A1F9-E3BEC5DE5131}"/>
    <cellStyle name="Note 2 3 2 4 3" xfId="8636" xr:uid="{B2019949-3BE4-48E2-AED5-722CD0743819}"/>
    <cellStyle name="Note 2 3 2 5" xfId="4747" xr:uid="{B025937D-E5E0-4B63-8717-F8EC1F19982C}"/>
    <cellStyle name="Note 2 3 2 5 2" xfId="6976" xr:uid="{94BCAD29-22EE-4927-B846-A7FB71D63992}"/>
    <cellStyle name="Note 2 3 2 5 2 2" xfId="11194" xr:uid="{A91A8319-3524-4579-BCA4-78FE1F7D5DC1}"/>
    <cellStyle name="Note 2 3 2 5 3" xfId="9049" xr:uid="{FF5B852E-F2C8-4928-8066-17D762E10F58}"/>
    <cellStyle name="Note 2 3 2 6" xfId="5183" xr:uid="{FA191556-C1A5-41C9-AD00-D063EDBC21FE}"/>
    <cellStyle name="Note 2 3 2 6 2" xfId="9462" xr:uid="{137B99F6-3ED0-4D6E-92ED-89F371784BCE}"/>
    <cellStyle name="Note 2 3 2 7" xfId="5242" xr:uid="{7ECF20B6-4089-4826-9C2C-34DCA924037F}"/>
    <cellStyle name="Note 2 3 2 8" xfId="5323" xr:uid="{5335E36E-A698-41BF-B321-65ACAA26BF2B}"/>
    <cellStyle name="Note 2 3 2 8 2" xfId="9542" xr:uid="{414A5298-FB19-443A-99C5-97D42492C376}"/>
    <cellStyle name="Note 2 3 2 9" xfId="7397" xr:uid="{8F36244D-EC73-45D3-B4FA-4BAFF22C912D}"/>
    <cellStyle name="Note 2 3 3" xfId="1018" xr:uid="{00000000-0005-0000-0000-0000E7030000}"/>
    <cellStyle name="Note 2 3 3 2" xfId="5736" xr:uid="{94BCBC7D-A2B3-4146-9072-7C2B9013E2A3}"/>
    <cellStyle name="Note 2 3 3 2 2" xfId="9954" xr:uid="{378EBAFB-DD47-4A37-9D76-634278B7CA23}"/>
    <cellStyle name="Note 2 3 3 3" xfId="7809" xr:uid="{5943A98E-3F83-41F5-8F23-70D43361C7A5}"/>
    <cellStyle name="Note 2 3 3 4" xfId="3507" xr:uid="{5B31E5FB-4D89-487D-B65F-248E59CB79FE}"/>
    <cellStyle name="Note 2 3 3 5" xfId="2678" xr:uid="{73AECB7B-34F3-48A6-A441-660479787062}"/>
    <cellStyle name="Note 2 3 3 6" xfId="1849" xr:uid="{4C9D678B-0FDF-4927-A467-6A54E5FD2812}"/>
    <cellStyle name="Note 2 3 4" xfId="3920" xr:uid="{4CFAD494-F548-4DD8-A176-C69407EA5AE8}"/>
    <cellStyle name="Note 2 3 4 2" xfId="6149" xr:uid="{3054F816-DBE2-4B09-AF1A-3F8E3A907508}"/>
    <cellStyle name="Note 2 3 4 2 2" xfId="10367" xr:uid="{E7829BA6-BF02-4336-851E-775737877970}"/>
    <cellStyle name="Note 2 3 4 3" xfId="8222" xr:uid="{B8C045ED-3945-4F0E-9DB3-D95E240BAEF2}"/>
    <cellStyle name="Note 2 3 5" xfId="4333" xr:uid="{0A3DD228-9A95-4A6A-A0BB-75585C02201E}"/>
    <cellStyle name="Note 2 3 5 2" xfId="6562" xr:uid="{FC84FF43-D9E7-4BD5-A4F6-6FB8695A6136}"/>
    <cellStyle name="Note 2 3 5 2 2" xfId="10780" xr:uid="{88A002BB-996C-428A-BB55-B93B369395E9}"/>
    <cellStyle name="Note 2 3 5 3" xfId="8635" xr:uid="{F4CE24F7-5ACD-44F0-9CE6-EB2FD719AAF6}"/>
    <cellStyle name="Note 2 3 6" xfId="4746" xr:uid="{B4A0A3BA-8FCF-4922-AC7D-635C3DB57418}"/>
    <cellStyle name="Note 2 3 6 2" xfId="6975" xr:uid="{FEB0A46C-7CDD-47BC-8CE8-AD9CD4895C6C}"/>
    <cellStyle name="Note 2 3 6 2 2" xfId="11193" xr:uid="{BDBE3EB7-3B5F-4982-BCCA-E7D335AA714E}"/>
    <cellStyle name="Note 2 3 6 3" xfId="9048" xr:uid="{33574FFC-B09B-4F5F-8CBD-4078F7DA11AD}"/>
    <cellStyle name="Note 2 3 7" xfId="5182" xr:uid="{6132BF87-26EE-4DB2-8B8E-122230FDD550}"/>
    <cellStyle name="Note 2 3 7 2" xfId="9461" xr:uid="{DFE4F9EC-CF11-4B24-AE58-3E1D413BBB41}"/>
    <cellStyle name="Note 2 3 8" xfId="5241" xr:uid="{E0604708-E11E-4DA4-9F1E-BEC182514F1D}"/>
    <cellStyle name="Note 2 3 9" xfId="5322" xr:uid="{3C022EE2-CD3C-4708-957C-C1B3C178AD99}"/>
    <cellStyle name="Note 2 3 9 2" xfId="9541" xr:uid="{465B87ED-E66F-4084-8E64-E847C95C8E11}"/>
    <cellStyle name="Note 2 4" xfId="555" xr:uid="{00000000-0005-0000-0000-0000E8030000}"/>
    <cellStyle name="Note 2 4 10" xfId="3094" xr:uid="{428232FC-9CBC-43E5-85F0-E5931ECC5637}"/>
    <cellStyle name="Note 2 4 11" xfId="2264" xr:uid="{EB78866A-F1E8-4195-826F-589742E75CA1}"/>
    <cellStyle name="Note 2 4 12" xfId="1435" xr:uid="{0DE53A4B-59BB-49AC-88F1-C3231EF5EF09}"/>
    <cellStyle name="Note 2 4 2" xfId="1020" xr:uid="{00000000-0005-0000-0000-0000E9030000}"/>
    <cellStyle name="Note 2 4 2 2" xfId="5738" xr:uid="{7E338CCB-C00A-4C12-B3B7-D2287A75E55D}"/>
    <cellStyle name="Note 2 4 2 2 2" xfId="9956" xr:uid="{41A12693-0F38-4186-A29A-3BCD06FC942F}"/>
    <cellStyle name="Note 2 4 2 3" xfId="7811" xr:uid="{84E76D36-769A-41DC-9E6F-3D76D42570B2}"/>
    <cellStyle name="Note 2 4 2 4" xfId="3509" xr:uid="{55D60F7E-C117-4A1A-8A68-CCD14429D334}"/>
    <cellStyle name="Note 2 4 2 5" xfId="2680" xr:uid="{5E9D7E11-F71E-4F6A-9C77-7EEEA8FF45D1}"/>
    <cellStyle name="Note 2 4 2 6" xfId="1851" xr:uid="{7DBD6FCA-2630-4C40-834C-F66F904C8189}"/>
    <cellStyle name="Note 2 4 3" xfId="3922" xr:uid="{F8E2F532-AC14-4463-9D38-5C317DC6B4E3}"/>
    <cellStyle name="Note 2 4 3 2" xfId="6151" xr:uid="{9080BE97-2980-4070-8104-114D9F0DAFF8}"/>
    <cellStyle name="Note 2 4 3 2 2" xfId="10369" xr:uid="{7F770C19-8B82-47E2-A212-59967DE36DB1}"/>
    <cellStyle name="Note 2 4 3 3" xfId="8224" xr:uid="{847B685C-46EE-4D84-B17A-6FD9FD828829}"/>
    <cellStyle name="Note 2 4 4" xfId="4335" xr:uid="{55E4554F-489C-4461-8C51-D985C19F5F8C}"/>
    <cellStyle name="Note 2 4 4 2" xfId="6564" xr:uid="{F91EADDE-3584-4742-B915-0F58DE4AC34E}"/>
    <cellStyle name="Note 2 4 4 2 2" xfId="10782" xr:uid="{70C0C9D8-A14D-48B9-AB43-4D3D1B790002}"/>
    <cellStyle name="Note 2 4 4 3" xfId="8637" xr:uid="{15267FFF-128F-4873-92CC-2DFACF834F5B}"/>
    <cellStyle name="Note 2 4 5" xfId="4748" xr:uid="{D6AFE84B-EB67-42F8-AB7D-9DD031A1491C}"/>
    <cellStyle name="Note 2 4 5 2" xfId="6977" xr:uid="{13ADCC7B-C356-4048-94A1-1D99644F00BC}"/>
    <cellStyle name="Note 2 4 5 2 2" xfId="11195" xr:uid="{3AFBF3D7-B245-44CE-8F2D-92D021C26CBD}"/>
    <cellStyle name="Note 2 4 5 3" xfId="9050" xr:uid="{26BBE7E8-23DA-41A9-BCE3-41466E7CBF21}"/>
    <cellStyle name="Note 2 4 6" xfId="5184" xr:uid="{87CBA5D0-8DE5-4BC0-A28E-3199EB56568B}"/>
    <cellStyle name="Note 2 4 6 2" xfId="9463" xr:uid="{05176D8B-384D-46C4-92BD-6D981BC7D883}"/>
    <cellStyle name="Note 2 4 7" xfId="5243" xr:uid="{F56CE356-54F1-4FD1-A7E8-606B022A2D51}"/>
    <cellStyle name="Note 2 4 8" xfId="5324" xr:uid="{2D93F1B7-1664-4D07-890D-AA8626A432AF}"/>
    <cellStyle name="Note 2 4 8 2" xfId="9543" xr:uid="{21456068-2638-4E4A-88AD-BA4DBD373C90}"/>
    <cellStyle name="Note 2 4 9" xfId="7398" xr:uid="{BD35FC76-B682-4F5B-8B5F-203C854EC6E3}"/>
    <cellStyle name="Note 2 5" xfId="556" xr:uid="{00000000-0005-0000-0000-0000EA030000}"/>
    <cellStyle name="Note 2 5 10" xfId="3095" xr:uid="{225048DC-DFD9-4BD6-842F-C68C2C33F694}"/>
    <cellStyle name="Note 2 5 11" xfId="2265" xr:uid="{30CC0880-166D-44D7-9A50-0F07B0AA1680}"/>
    <cellStyle name="Note 2 5 12" xfId="1436" xr:uid="{D413DB21-40C2-4F7C-BBB5-4C1B00635B88}"/>
    <cellStyle name="Note 2 5 2" xfId="1021" xr:uid="{00000000-0005-0000-0000-0000EB030000}"/>
    <cellStyle name="Note 2 5 2 2" xfId="5739" xr:uid="{62A1C862-3DC3-4527-98F6-1B50884B4239}"/>
    <cellStyle name="Note 2 5 2 2 2" xfId="9957" xr:uid="{7711FE48-84F8-41A6-9BB0-4BA442CAC3F3}"/>
    <cellStyle name="Note 2 5 2 3" xfId="7812" xr:uid="{B57735A8-18F9-49DD-BA7A-F661686C5B9F}"/>
    <cellStyle name="Note 2 5 2 4" xfId="3510" xr:uid="{70382317-913A-4BAC-84D4-A2B494179749}"/>
    <cellStyle name="Note 2 5 2 5" xfId="2681" xr:uid="{D0E71DE5-EF40-434A-A7A5-BBC9F99997EA}"/>
    <cellStyle name="Note 2 5 2 6" xfId="1852" xr:uid="{80C9FBFD-6C1E-4ED2-ADE0-4230430590AC}"/>
    <cellStyle name="Note 2 5 3" xfId="3923" xr:uid="{974F1EC8-2A0D-40EB-99F5-901F4E4E49A9}"/>
    <cellStyle name="Note 2 5 3 2" xfId="6152" xr:uid="{A220A219-AFB4-4DDA-88A7-83BCE703B0F3}"/>
    <cellStyle name="Note 2 5 3 2 2" xfId="10370" xr:uid="{CCD6E3FA-D326-42B1-A0EB-F34202E0F2FB}"/>
    <cellStyle name="Note 2 5 3 3" xfId="8225" xr:uid="{7DAA993A-9F3C-4D87-8B9B-B858A8B8C74B}"/>
    <cellStyle name="Note 2 5 4" xfId="4336" xr:uid="{70F5BC29-26CD-4408-A4F3-93C7DBD55E23}"/>
    <cellStyle name="Note 2 5 4 2" xfId="6565" xr:uid="{247AC317-9B40-4BB9-A627-75F43E40FDC6}"/>
    <cellStyle name="Note 2 5 4 2 2" xfId="10783" xr:uid="{8309CD76-D988-4BFD-A497-729DB34A6A50}"/>
    <cellStyle name="Note 2 5 4 3" xfId="8638" xr:uid="{B14CDD0C-EDD2-4875-8A3A-6C474F22B8FB}"/>
    <cellStyle name="Note 2 5 5" xfId="4749" xr:uid="{59741539-0E8C-4E57-9CD1-1DF76C59551D}"/>
    <cellStyle name="Note 2 5 5 2" xfId="6978" xr:uid="{F39FC887-B445-404A-BE60-67BA04592797}"/>
    <cellStyle name="Note 2 5 5 2 2" xfId="11196" xr:uid="{076F3B97-52FB-4AEB-B7E0-F86041D81845}"/>
    <cellStyle name="Note 2 5 5 3" xfId="9051" xr:uid="{A00572F9-48DE-4EBD-8D61-890EA3158589}"/>
    <cellStyle name="Note 2 5 6" xfId="5185" xr:uid="{E0C03C6D-8D36-4EE9-869D-36BE65A09B05}"/>
    <cellStyle name="Note 2 5 6 2" xfId="9464" xr:uid="{6B645B3B-D00B-4A60-810D-D454B8932DEF}"/>
    <cellStyle name="Note 2 5 7" xfId="5244" xr:uid="{DA7D8012-9388-4F4B-96B8-2D1BF8BE3EC7}"/>
    <cellStyle name="Note 2 5 8" xfId="5325" xr:uid="{D03EC585-0921-426D-B2BF-FF8BBBFF0B6F}"/>
    <cellStyle name="Note 2 5 8 2" xfId="9544" xr:uid="{3FD7CA4C-3166-481C-85FC-EB6EB4748454}"/>
    <cellStyle name="Note 2 5 9" xfId="7399" xr:uid="{E4E4F584-026D-429D-BF81-3EDEE27F24C2}"/>
    <cellStyle name="Note 3" xfId="557" xr:uid="{00000000-0005-0000-0000-0000EC030000}"/>
    <cellStyle name="Note 3 2" xfId="558" xr:uid="{00000000-0005-0000-0000-0000ED030000}"/>
    <cellStyle name="Note 3 2 10" xfId="5326" xr:uid="{350F484A-AEE9-4B68-B20C-013843B8870A}"/>
    <cellStyle name="Note 3 2 10 2" xfId="9545" xr:uid="{1DCA30B2-1019-46AB-88E6-68AF0ED21C19}"/>
    <cellStyle name="Note 3 2 11" xfId="7400" xr:uid="{A9C171D7-6790-4668-9E14-3107EA6EFF73}"/>
    <cellStyle name="Note 3 2 12" xfId="3096" xr:uid="{FA59D16C-666D-48E1-B086-46684839FD7D}"/>
    <cellStyle name="Note 3 2 13" xfId="2266" xr:uid="{DB20D25C-CCF6-4D02-890D-15D368EDA8D8}"/>
    <cellStyle name="Note 3 2 14" xfId="1437" xr:uid="{9B8CBF69-50F2-4B67-9660-7F96C17F422C}"/>
    <cellStyle name="Note 3 2 2" xfId="559" xr:uid="{00000000-0005-0000-0000-0000EE030000}"/>
    <cellStyle name="Note 3 2 2 10" xfId="7401" xr:uid="{1AA37DAE-4A7D-4CEF-8A2D-0DC5B17281D8}"/>
    <cellStyle name="Note 3 2 2 11" xfId="3097" xr:uid="{04466BA9-A50B-41FD-80E9-C78EF8F3EB15}"/>
    <cellStyle name="Note 3 2 2 12" xfId="2267" xr:uid="{AD9C5E1C-DC80-489A-BE33-7E3CA696961D}"/>
    <cellStyle name="Note 3 2 2 13" xfId="1438" xr:uid="{11041E35-7CF7-4347-9C3B-7890003A3BFF}"/>
    <cellStyle name="Note 3 2 2 2" xfId="560" xr:uid="{00000000-0005-0000-0000-0000EF030000}"/>
    <cellStyle name="Note 3 2 2 2 10" xfId="3098" xr:uid="{6850A504-49D6-4793-A157-49A19A07B932}"/>
    <cellStyle name="Note 3 2 2 2 11" xfId="2268" xr:uid="{D0380D87-101B-49A7-B84A-AB6423203E20}"/>
    <cellStyle name="Note 3 2 2 2 12" xfId="1439" xr:uid="{7014BA17-3FD9-42F8-A525-21348C3F238D}"/>
    <cellStyle name="Note 3 2 2 2 2" xfId="1024" xr:uid="{00000000-0005-0000-0000-0000F0030000}"/>
    <cellStyle name="Note 3 2 2 2 2 2" xfId="5742" xr:uid="{3D8BF9F5-7BB0-4C04-BD7F-DE3EEEF85A28}"/>
    <cellStyle name="Note 3 2 2 2 2 2 2" xfId="9960" xr:uid="{9A062B7B-EEA2-44FD-B61F-9AA2958A294A}"/>
    <cellStyle name="Note 3 2 2 2 2 3" xfId="7815" xr:uid="{EE5B61CB-B6CD-4DE9-A2A2-D26CC7F513E4}"/>
    <cellStyle name="Note 3 2 2 2 2 4" xfId="3513" xr:uid="{EA523AC7-2921-4A33-A79B-E9E397E5343B}"/>
    <cellStyle name="Note 3 2 2 2 2 5" xfId="2684" xr:uid="{C9F6F83C-8E29-4A0C-A336-8FD10C729297}"/>
    <cellStyle name="Note 3 2 2 2 2 6" xfId="1855" xr:uid="{A2AEDB75-E58D-4260-999C-FA6C30C23811}"/>
    <cellStyle name="Note 3 2 2 2 3" xfId="3926" xr:uid="{EC724F0B-7529-46E4-930C-7B8EEFED7F66}"/>
    <cellStyle name="Note 3 2 2 2 3 2" xfId="6155" xr:uid="{0CF5EB4B-A821-4B5A-A65F-D7CF45B3D3F5}"/>
    <cellStyle name="Note 3 2 2 2 3 2 2" xfId="10373" xr:uid="{056F124B-AFB4-49F9-B549-0B0EAF004CBC}"/>
    <cellStyle name="Note 3 2 2 2 3 3" xfId="8228" xr:uid="{FAA597C1-2702-4AD5-A4B0-CECBE4E36BB0}"/>
    <cellStyle name="Note 3 2 2 2 4" xfId="4339" xr:uid="{DDB52852-A7B6-4752-9542-B66A061DDF31}"/>
    <cellStyle name="Note 3 2 2 2 4 2" xfId="6568" xr:uid="{35B8DE4A-0FAF-4ED0-9EE4-A8E803973654}"/>
    <cellStyle name="Note 3 2 2 2 4 2 2" xfId="10786" xr:uid="{3FD6F112-2FF8-4882-91AF-BC74F19947FA}"/>
    <cellStyle name="Note 3 2 2 2 4 3" xfId="8641" xr:uid="{64216253-5E34-4F54-9D17-C803A55B3BCC}"/>
    <cellStyle name="Note 3 2 2 2 5" xfId="4752" xr:uid="{D9B0064E-50B6-4BA1-AC9F-890C09225F25}"/>
    <cellStyle name="Note 3 2 2 2 5 2" xfId="6981" xr:uid="{49735321-14A5-47F0-9228-A273038A933E}"/>
    <cellStyle name="Note 3 2 2 2 5 2 2" xfId="11199" xr:uid="{4A4FF100-B10A-40D2-97AE-64A768FF66F3}"/>
    <cellStyle name="Note 3 2 2 2 5 3" xfId="9054" xr:uid="{091065FF-B9C2-48A5-9A93-5EEC9ACDE59C}"/>
    <cellStyle name="Note 3 2 2 2 6" xfId="5188" xr:uid="{D9D60436-95E7-4B6C-9261-E8ED5FCC9968}"/>
    <cellStyle name="Note 3 2 2 2 6 2" xfId="9467" xr:uid="{D9181519-F287-4B1A-BBCC-4B51691E3933}"/>
    <cellStyle name="Note 3 2 2 2 7" xfId="5247" xr:uid="{E62E0895-0B32-42AF-A249-A99002306D04}"/>
    <cellStyle name="Note 3 2 2 2 8" xfId="5328" xr:uid="{3D4BCEFE-C6E8-462E-AF7E-B4FA1111DB28}"/>
    <cellStyle name="Note 3 2 2 2 8 2" xfId="9547" xr:uid="{1637B3F4-DA8C-48E6-91EC-D0A7087CC577}"/>
    <cellStyle name="Note 3 2 2 2 9" xfId="7402" xr:uid="{767B4723-51A7-4DEF-BE69-1180B06B2081}"/>
    <cellStyle name="Note 3 2 2 3" xfId="1023" xr:uid="{00000000-0005-0000-0000-0000F1030000}"/>
    <cellStyle name="Note 3 2 2 3 2" xfId="5741" xr:uid="{5571D169-AE9A-427C-8FF8-441AF9FDBA42}"/>
    <cellStyle name="Note 3 2 2 3 2 2" xfId="9959" xr:uid="{A646B81D-F4BD-4670-BE69-0E894D248E17}"/>
    <cellStyle name="Note 3 2 2 3 3" xfId="7814" xr:uid="{6718EE6A-DEA1-4BC5-B4E1-436AAFD01049}"/>
    <cellStyle name="Note 3 2 2 3 4" xfId="3512" xr:uid="{E70B9687-E758-4F74-89AE-8FD7954F4A81}"/>
    <cellStyle name="Note 3 2 2 3 5" xfId="2683" xr:uid="{E087A4EE-DDE4-4CC0-8DC6-97CA5D49DC95}"/>
    <cellStyle name="Note 3 2 2 3 6" xfId="1854" xr:uid="{28375344-4502-4162-A63D-004A87F93FD3}"/>
    <cellStyle name="Note 3 2 2 4" xfId="3925" xr:uid="{C0213B5D-EC2B-4911-8F3C-DD82CE8535AA}"/>
    <cellStyle name="Note 3 2 2 4 2" xfId="6154" xr:uid="{B9F393F5-17E7-4185-9FCE-5CBD3BF63424}"/>
    <cellStyle name="Note 3 2 2 4 2 2" xfId="10372" xr:uid="{2E8BC8D8-AD3C-4A3A-8F83-DCE9655F81B0}"/>
    <cellStyle name="Note 3 2 2 4 3" xfId="8227" xr:uid="{BC6065BA-EC0F-4C9A-A56A-2F8C922CD051}"/>
    <cellStyle name="Note 3 2 2 5" xfId="4338" xr:uid="{E39E3100-2234-446D-B5C8-7BB0483DFE0F}"/>
    <cellStyle name="Note 3 2 2 5 2" xfId="6567" xr:uid="{712D4DE1-2C59-466F-85A1-AE8EDB9BA3BF}"/>
    <cellStyle name="Note 3 2 2 5 2 2" xfId="10785" xr:uid="{ADF6843F-5207-474B-BBFA-EF2254BD318C}"/>
    <cellStyle name="Note 3 2 2 5 3" xfId="8640" xr:uid="{BB758940-84AB-4BC3-9EBD-E73FEB6AF42F}"/>
    <cellStyle name="Note 3 2 2 6" xfId="4751" xr:uid="{9288C62F-4AD6-4DD5-94FD-F110E6215121}"/>
    <cellStyle name="Note 3 2 2 6 2" xfId="6980" xr:uid="{92CFDFBF-D0A5-4FE2-8487-0751A021B8B0}"/>
    <cellStyle name="Note 3 2 2 6 2 2" xfId="11198" xr:uid="{4B2AF36F-3D51-4E16-83DC-203429B97658}"/>
    <cellStyle name="Note 3 2 2 6 3" xfId="9053" xr:uid="{CEEACB3B-B615-473B-843D-CC2B9F5AA054}"/>
    <cellStyle name="Note 3 2 2 7" xfId="5187" xr:uid="{6378BB95-B6A9-4F38-9784-42BB48A00DB8}"/>
    <cellStyle name="Note 3 2 2 7 2" xfId="9466" xr:uid="{DA6209DA-68DF-46EB-826D-545ECB41FEDD}"/>
    <cellStyle name="Note 3 2 2 8" xfId="5246" xr:uid="{73E99F06-D33E-4980-9ED2-F0626C2816BA}"/>
    <cellStyle name="Note 3 2 2 9" xfId="5327" xr:uid="{45132809-209F-4239-B190-5FEBD3BE8F60}"/>
    <cellStyle name="Note 3 2 2 9 2" xfId="9546" xr:uid="{BC505D1F-9E64-4AAF-8DEF-AB7AC4B07C67}"/>
    <cellStyle name="Note 3 2 3" xfId="561" xr:uid="{00000000-0005-0000-0000-0000F2030000}"/>
    <cellStyle name="Note 3 2 3 10" xfId="3099" xr:uid="{3D02BB9A-FEAE-40D7-9B37-CD9EED62C1AB}"/>
    <cellStyle name="Note 3 2 3 11" xfId="2269" xr:uid="{017637E4-1825-4AAA-B113-870923F14AE2}"/>
    <cellStyle name="Note 3 2 3 12" xfId="1440" xr:uid="{57E8FBDA-4A4C-4996-A8A5-86F345F0343B}"/>
    <cellStyle name="Note 3 2 3 2" xfId="1025" xr:uid="{00000000-0005-0000-0000-0000F3030000}"/>
    <cellStyle name="Note 3 2 3 2 2" xfId="5743" xr:uid="{18E911F6-E55E-4753-A959-7C47D54BE4A4}"/>
    <cellStyle name="Note 3 2 3 2 2 2" xfId="9961" xr:uid="{F710C08D-91B2-4EB9-8995-229E9CED45D5}"/>
    <cellStyle name="Note 3 2 3 2 3" xfId="7816" xr:uid="{06F0B58C-EE48-48C4-B8B8-531524726CEE}"/>
    <cellStyle name="Note 3 2 3 2 4" xfId="3514" xr:uid="{A5E0790B-6352-4846-A869-52D57C81581C}"/>
    <cellStyle name="Note 3 2 3 2 5" xfId="2685" xr:uid="{7E34BAD0-4D57-4AD7-B743-6CC477AD881A}"/>
    <cellStyle name="Note 3 2 3 2 6" xfId="1856" xr:uid="{FD49426F-40A9-4CCB-AAEF-6BDACC4C496C}"/>
    <cellStyle name="Note 3 2 3 3" xfId="3927" xr:uid="{0725AB3A-BFB1-4288-B962-180D39938303}"/>
    <cellStyle name="Note 3 2 3 3 2" xfId="6156" xr:uid="{FFD83E2E-00E1-48AF-9F8D-777DA42A042E}"/>
    <cellStyle name="Note 3 2 3 3 2 2" xfId="10374" xr:uid="{1AF8093A-A073-4055-8A73-3E50104A2946}"/>
    <cellStyle name="Note 3 2 3 3 3" xfId="8229" xr:uid="{E7DC2D7D-2FA1-4CA9-AB36-BCE67768AB98}"/>
    <cellStyle name="Note 3 2 3 4" xfId="4340" xr:uid="{0C36DAAB-0011-4763-A177-1E852C17C347}"/>
    <cellStyle name="Note 3 2 3 4 2" xfId="6569" xr:uid="{A94EFC1F-E95C-4F88-AF46-AC5B84AA0BD7}"/>
    <cellStyle name="Note 3 2 3 4 2 2" xfId="10787" xr:uid="{7B950E85-235E-4DD6-85B4-303690A8FE66}"/>
    <cellStyle name="Note 3 2 3 4 3" xfId="8642" xr:uid="{ADD10707-556D-4719-8B7F-0381B15C75C5}"/>
    <cellStyle name="Note 3 2 3 5" xfId="4753" xr:uid="{2FE97521-B21E-4385-B44A-1BBE8E70E3BF}"/>
    <cellStyle name="Note 3 2 3 5 2" xfId="6982" xr:uid="{CF73A5C1-CF00-4D9F-A1FB-B4FE5265412D}"/>
    <cellStyle name="Note 3 2 3 5 2 2" xfId="11200" xr:uid="{AF119756-7817-4236-889C-637BBB70AB79}"/>
    <cellStyle name="Note 3 2 3 5 3" xfId="9055" xr:uid="{C302F11D-FA8C-4903-A484-6A048A89DB06}"/>
    <cellStyle name="Note 3 2 3 6" xfId="5189" xr:uid="{AC8D4782-C3D6-4728-A176-0FEF739E871C}"/>
    <cellStyle name="Note 3 2 3 6 2" xfId="9468" xr:uid="{DE2F4D1D-D6A3-4C5C-BC6E-478A7A0A5377}"/>
    <cellStyle name="Note 3 2 3 7" xfId="5248" xr:uid="{BE3E5C76-3E46-4564-933B-3DE71D69D0F7}"/>
    <cellStyle name="Note 3 2 3 8" xfId="5329" xr:uid="{327125DF-B1D9-432E-8806-6255D6EF08C4}"/>
    <cellStyle name="Note 3 2 3 8 2" xfId="9548" xr:uid="{E78FC938-9739-4C5A-8347-F06CE95D8BE8}"/>
    <cellStyle name="Note 3 2 3 9" xfId="7403" xr:uid="{BA1E5A42-A38C-4260-8663-C08674D38EAC}"/>
    <cellStyle name="Note 3 2 4" xfId="1022" xr:uid="{00000000-0005-0000-0000-0000F4030000}"/>
    <cellStyle name="Note 3 2 4 2" xfId="5740" xr:uid="{5808B6D9-297D-4B4D-81EF-5C15323D8E81}"/>
    <cellStyle name="Note 3 2 4 2 2" xfId="9958" xr:uid="{A2F2D22D-D0DA-43BA-A2A2-2F34EF787DA0}"/>
    <cellStyle name="Note 3 2 4 3" xfId="7813" xr:uid="{6BBAB20C-58D9-4079-A8D3-A5F6F7B94E42}"/>
    <cellStyle name="Note 3 2 4 4" xfId="3511" xr:uid="{5C48FD05-6590-498A-AD7D-E08F8D5D6634}"/>
    <cellStyle name="Note 3 2 4 5" xfId="2682" xr:uid="{8D8501FD-3EA1-462C-8C0E-FEDCDE4E890B}"/>
    <cellStyle name="Note 3 2 4 6" xfId="1853" xr:uid="{F654A826-E01B-4E30-9D1A-A44D84E7C037}"/>
    <cellStyle name="Note 3 2 5" xfId="3924" xr:uid="{3B5AC716-9F13-4054-867C-3D618F697216}"/>
    <cellStyle name="Note 3 2 5 2" xfId="6153" xr:uid="{3FE34684-4DCB-4A42-8A9A-34C8C902AF8C}"/>
    <cellStyle name="Note 3 2 5 2 2" xfId="10371" xr:uid="{FA9DBB22-92B6-48A3-84D2-918E779F1E29}"/>
    <cellStyle name="Note 3 2 5 3" xfId="8226" xr:uid="{C30D6F83-AD02-4E46-BB24-8DF4C33399FB}"/>
    <cellStyle name="Note 3 2 6" xfId="4337" xr:uid="{34B09867-F809-41FA-A9CA-3CCBA49A0856}"/>
    <cellStyle name="Note 3 2 6 2" xfId="6566" xr:uid="{F2834B2E-32CF-4864-8498-E84F021BE818}"/>
    <cellStyle name="Note 3 2 6 2 2" xfId="10784" xr:uid="{B58ACDB7-4899-4CCD-85F6-8A25C3BC94A2}"/>
    <cellStyle name="Note 3 2 6 3" xfId="8639" xr:uid="{65FDD2DE-FA7C-47B6-AD4C-708EDDF7CCC2}"/>
    <cellStyle name="Note 3 2 7" xfId="4750" xr:uid="{B8904D11-EE3A-48D1-AF6E-6A1AABE99117}"/>
    <cellStyle name="Note 3 2 7 2" xfId="6979" xr:uid="{FA5C2554-0F7F-4AB5-8A8E-3CEAAB345CFE}"/>
    <cellStyle name="Note 3 2 7 2 2" xfId="11197" xr:uid="{BFDF3F50-4B66-49C8-9E1E-B13DA601D904}"/>
    <cellStyle name="Note 3 2 7 3" xfId="9052" xr:uid="{8CE9C3D7-121E-4D05-985B-F2DA47463284}"/>
    <cellStyle name="Note 3 2 8" xfId="5186" xr:uid="{A5EBD761-7B5F-4ABC-8F02-124598293968}"/>
    <cellStyle name="Note 3 2 8 2" xfId="9465" xr:uid="{A5BDA901-2E72-40FC-A7F0-2A9AEB3AAC34}"/>
    <cellStyle name="Note 3 2 9" xfId="5245" xr:uid="{F0A303DB-23DD-4361-9705-2BDFA9199029}"/>
    <cellStyle name="Note 3 3" xfId="562" xr:uid="{00000000-0005-0000-0000-0000F5030000}"/>
    <cellStyle name="Note 3 3 10" xfId="7404" xr:uid="{5DDE9080-4EE5-452F-9FC8-D064CA956D94}"/>
    <cellStyle name="Note 3 3 11" xfId="3100" xr:uid="{1DA6F529-8074-492B-ABA1-58D32C54AC37}"/>
    <cellStyle name="Note 3 3 12" xfId="2270" xr:uid="{F3954CED-DE93-4327-8982-B2E276EBBA64}"/>
    <cellStyle name="Note 3 3 13" xfId="1441" xr:uid="{584AC83D-62AE-4F5D-AE62-8FD071A88584}"/>
    <cellStyle name="Note 3 3 2" xfId="563" xr:uid="{00000000-0005-0000-0000-0000F6030000}"/>
    <cellStyle name="Note 3 3 2 10" xfId="3101" xr:uid="{F866B011-28DA-485C-AC3E-DCA81A354279}"/>
    <cellStyle name="Note 3 3 2 11" xfId="2271" xr:uid="{976D9608-CF2B-438F-8A53-F7198B93561D}"/>
    <cellStyle name="Note 3 3 2 12" xfId="1442" xr:uid="{6DE80976-A9DF-4D3C-AC1D-095C8345C390}"/>
    <cellStyle name="Note 3 3 2 2" xfId="1027" xr:uid="{00000000-0005-0000-0000-0000F7030000}"/>
    <cellStyle name="Note 3 3 2 2 2" xfId="5745" xr:uid="{4700A61F-DBB3-4FCF-9207-8269C6460EC8}"/>
    <cellStyle name="Note 3 3 2 2 2 2" xfId="9963" xr:uid="{16AEF16C-BD9F-45D0-A43D-BF0B09A4562E}"/>
    <cellStyle name="Note 3 3 2 2 3" xfId="7818" xr:uid="{F991F9C9-744B-41E4-90D8-155389890E81}"/>
    <cellStyle name="Note 3 3 2 2 4" xfId="3516" xr:uid="{FF1F73D3-E299-4D7F-A39B-406A56303456}"/>
    <cellStyle name="Note 3 3 2 2 5" xfId="2687" xr:uid="{77FA3A64-9696-45F3-A91A-DAFA16CE5535}"/>
    <cellStyle name="Note 3 3 2 2 6" xfId="1858" xr:uid="{34E8A1FF-7E64-4C57-ADF3-C45829D65D88}"/>
    <cellStyle name="Note 3 3 2 3" xfId="3929" xr:uid="{7FB1BB7E-8019-41B3-8291-497CAB8362A4}"/>
    <cellStyle name="Note 3 3 2 3 2" xfId="6158" xr:uid="{0402CDCB-4E32-4F84-9AC2-60032A0FAB7E}"/>
    <cellStyle name="Note 3 3 2 3 2 2" xfId="10376" xr:uid="{52E148BC-7B06-4B72-99C5-C0DB888F97FD}"/>
    <cellStyle name="Note 3 3 2 3 3" xfId="8231" xr:uid="{BA988B25-3302-4B5B-A871-80501B613555}"/>
    <cellStyle name="Note 3 3 2 4" xfId="4342" xr:uid="{CE2EFB8E-85E2-4C8C-8AD9-F1B8B40109BB}"/>
    <cellStyle name="Note 3 3 2 4 2" xfId="6571" xr:uid="{0E882C23-3BC5-4B27-82C4-925CFEFEE5D7}"/>
    <cellStyle name="Note 3 3 2 4 2 2" xfId="10789" xr:uid="{40B1DEC1-9BFE-4A03-AD5D-BE09209E8E4B}"/>
    <cellStyle name="Note 3 3 2 4 3" xfId="8644" xr:uid="{47426CCA-9BDD-4683-84B7-BA99E1DC4963}"/>
    <cellStyle name="Note 3 3 2 5" xfId="4755" xr:uid="{E3DA43AE-F86C-48BD-9A1A-93652A2F8420}"/>
    <cellStyle name="Note 3 3 2 5 2" xfId="6984" xr:uid="{6F4F6E1D-8336-42CE-976D-E85AE1C16AD0}"/>
    <cellStyle name="Note 3 3 2 5 2 2" xfId="11202" xr:uid="{21A1AAA2-8A20-4716-AC6C-25C15DA4D32A}"/>
    <cellStyle name="Note 3 3 2 5 3" xfId="9057" xr:uid="{C84F6E2B-7F6F-4C94-A0E7-DDA987A51477}"/>
    <cellStyle name="Note 3 3 2 6" xfId="5191" xr:uid="{B2DEE638-9925-43AC-89AF-76910D1E7EE9}"/>
    <cellStyle name="Note 3 3 2 6 2" xfId="9470" xr:uid="{63910814-8381-436A-94AC-0985BD6BEA26}"/>
    <cellStyle name="Note 3 3 2 7" xfId="5250" xr:uid="{D778AA18-D887-46B3-A099-18E5B5C1BA65}"/>
    <cellStyle name="Note 3 3 2 8" xfId="5331" xr:uid="{84823256-0BEC-4536-B470-5599E079C000}"/>
    <cellStyle name="Note 3 3 2 8 2" xfId="9550" xr:uid="{6B68AF60-A9B3-45CA-8C4E-25B8B3823005}"/>
    <cellStyle name="Note 3 3 2 9" xfId="7405" xr:uid="{C6CB8D2E-7C78-4A5A-8450-8C02398026D1}"/>
    <cellStyle name="Note 3 3 3" xfId="1026" xr:uid="{00000000-0005-0000-0000-0000F8030000}"/>
    <cellStyle name="Note 3 3 3 2" xfId="5744" xr:uid="{C36028F5-2D4E-46CC-A717-BE537DE14E40}"/>
    <cellStyle name="Note 3 3 3 2 2" xfId="9962" xr:uid="{B51F7F9F-3603-40A2-90F5-B9E02FDC412F}"/>
    <cellStyle name="Note 3 3 3 3" xfId="7817" xr:uid="{205765E8-4185-4391-A349-2E59A4D92BF8}"/>
    <cellStyle name="Note 3 3 3 4" xfId="3515" xr:uid="{6E79149A-FE8A-42C2-8C35-98059E59D382}"/>
    <cellStyle name="Note 3 3 3 5" xfId="2686" xr:uid="{25595CE4-B994-4446-B83D-571C0AF611A1}"/>
    <cellStyle name="Note 3 3 3 6" xfId="1857" xr:uid="{B0478182-DEF7-4B9E-83CE-529ECD72F835}"/>
    <cellStyle name="Note 3 3 4" xfId="3928" xr:uid="{95A52ED4-4F3A-4987-9CE8-F9D745E4BEBC}"/>
    <cellStyle name="Note 3 3 4 2" xfId="6157" xr:uid="{EECEB9AA-3047-4518-B04C-6FD2E1CC651C}"/>
    <cellStyle name="Note 3 3 4 2 2" xfId="10375" xr:uid="{0660B18D-69DF-4B47-B1B2-571D2111C4B7}"/>
    <cellStyle name="Note 3 3 4 3" xfId="8230" xr:uid="{F977AFEA-6616-4652-9C2F-A8E5ACD6F4D6}"/>
    <cellStyle name="Note 3 3 5" xfId="4341" xr:uid="{D49867B8-0785-49B4-9A65-F4C02B75F330}"/>
    <cellStyle name="Note 3 3 5 2" xfId="6570" xr:uid="{5C72055E-430D-4202-9F74-4A8DF7359679}"/>
    <cellStyle name="Note 3 3 5 2 2" xfId="10788" xr:uid="{B58B14EB-7F87-4D2F-80F8-A03B3266701D}"/>
    <cellStyle name="Note 3 3 5 3" xfId="8643" xr:uid="{6BF372C2-CE05-4CB0-A6A2-6770490532E9}"/>
    <cellStyle name="Note 3 3 6" xfId="4754" xr:uid="{BC747122-EDE6-4916-BA0C-A31AF4763607}"/>
    <cellStyle name="Note 3 3 6 2" xfId="6983" xr:uid="{96838D92-1443-4DE8-88A5-1E867B21A6EE}"/>
    <cellStyle name="Note 3 3 6 2 2" xfId="11201" xr:uid="{BF620B20-5BD5-45DC-AEE4-A15218F60078}"/>
    <cellStyle name="Note 3 3 6 3" xfId="9056" xr:uid="{7FFB556A-35E1-4B38-AD30-504424A23ADC}"/>
    <cellStyle name="Note 3 3 7" xfId="5190" xr:uid="{BCD164B9-01C7-4F8B-948D-B30D1E2FE42F}"/>
    <cellStyle name="Note 3 3 7 2" xfId="9469" xr:uid="{6AF2BBA3-1DAF-4F7F-931F-9B455DA94F3B}"/>
    <cellStyle name="Note 3 3 8" xfId="5249" xr:uid="{87AC6660-51C3-4F67-9BFA-2E701E358F3A}"/>
    <cellStyle name="Note 3 3 9" xfId="5330" xr:uid="{77D69DD3-2776-4136-AAF6-78D2565B49C0}"/>
    <cellStyle name="Note 3 3 9 2" xfId="9549" xr:uid="{8DA4520F-D38D-4D2B-A52D-A920301B5894}"/>
    <cellStyle name="Note 3 4" xfId="564" xr:uid="{00000000-0005-0000-0000-0000F9030000}"/>
    <cellStyle name="Note 3 4 10" xfId="3102" xr:uid="{D30836D4-8A77-4F1B-8770-D4770CC196BD}"/>
    <cellStyle name="Note 3 4 11" xfId="2272" xr:uid="{C440B3F1-83C6-4503-8A52-C8C234B6582F}"/>
    <cellStyle name="Note 3 4 12" xfId="1443" xr:uid="{E5745D93-F147-471F-AFAC-DDDF3660632C}"/>
    <cellStyle name="Note 3 4 2" xfId="1028" xr:uid="{00000000-0005-0000-0000-0000FA030000}"/>
    <cellStyle name="Note 3 4 2 2" xfId="5746" xr:uid="{992D631F-2CCC-4A36-B1C3-C91DF756F445}"/>
    <cellStyle name="Note 3 4 2 2 2" xfId="9964" xr:uid="{336918DE-34DA-4CCA-8FC3-7198F1590B61}"/>
    <cellStyle name="Note 3 4 2 3" xfId="7819" xr:uid="{D7A72D18-1C5A-4886-91AF-3602674649EC}"/>
    <cellStyle name="Note 3 4 2 4" xfId="3517" xr:uid="{7EAB8B5D-B079-4DE9-A095-CDEDE78EF1B7}"/>
    <cellStyle name="Note 3 4 2 5" xfId="2688" xr:uid="{44CB8AEB-C124-45D9-AC90-C0A1580E979E}"/>
    <cellStyle name="Note 3 4 2 6" xfId="1859" xr:uid="{0861BC5E-2C34-4B3A-9DB0-9AFADFD52B23}"/>
    <cellStyle name="Note 3 4 3" xfId="3930" xr:uid="{B796D0E9-13C1-4894-802B-EE3B4744B5B9}"/>
    <cellStyle name="Note 3 4 3 2" xfId="6159" xr:uid="{84B9E83C-8F29-4438-9FC7-A272CEFBB79F}"/>
    <cellStyle name="Note 3 4 3 2 2" xfId="10377" xr:uid="{3A7DCA6C-701E-4542-AE04-D7CABFEFCBB3}"/>
    <cellStyle name="Note 3 4 3 3" xfId="8232" xr:uid="{E1005632-2D5C-432B-91C7-93F245172354}"/>
    <cellStyle name="Note 3 4 4" xfId="4343" xr:uid="{454E4D32-A1D7-43A6-858B-022B50AFFCE3}"/>
    <cellStyle name="Note 3 4 4 2" xfId="6572" xr:uid="{B3A99806-B410-46C1-9F94-6FF5B460BB72}"/>
    <cellStyle name="Note 3 4 4 2 2" xfId="10790" xr:uid="{29B115D1-5CCC-48B5-83A2-F786DA4A7816}"/>
    <cellStyle name="Note 3 4 4 3" xfId="8645" xr:uid="{F94ABC2E-D0E3-4905-801F-1993F7F4CC27}"/>
    <cellStyle name="Note 3 4 5" xfId="4756" xr:uid="{2A74E85B-B07A-4195-8F21-19DBDEFF483A}"/>
    <cellStyle name="Note 3 4 5 2" xfId="6985" xr:uid="{3C0CD9ED-C1DC-4CB1-9FD6-3AE9998D5E9C}"/>
    <cellStyle name="Note 3 4 5 2 2" xfId="11203" xr:uid="{6040B4E4-941C-4817-8C56-8162017DA6D2}"/>
    <cellStyle name="Note 3 4 5 3" xfId="9058" xr:uid="{20E95164-721F-4072-B1E5-7B7B9C2A6B5C}"/>
    <cellStyle name="Note 3 4 6" xfId="5192" xr:uid="{30853D44-3D2B-41EB-810B-AE450700AB9E}"/>
    <cellStyle name="Note 3 4 6 2" xfId="9471" xr:uid="{856919BE-367E-411F-9D7B-F2F9A359A2EB}"/>
    <cellStyle name="Note 3 4 7" xfId="5251" xr:uid="{D7F4D521-E5FC-4672-9637-4E754998C19A}"/>
    <cellStyle name="Note 3 4 8" xfId="5332" xr:uid="{09E097A4-3353-4C91-9906-60596B5977DC}"/>
    <cellStyle name="Note 3 4 8 2" xfId="9551" xr:uid="{F6154A35-D3F7-4E2F-8A1D-7E141039A67B}"/>
    <cellStyle name="Note 3 4 9" xfId="7406" xr:uid="{5FE0AA73-E9C7-4171-9BBF-5D552DB130E9}"/>
    <cellStyle name="Note 3 5" xfId="565" xr:uid="{00000000-0005-0000-0000-0000FB030000}"/>
    <cellStyle name="Note 3 5 10" xfId="3103" xr:uid="{27A3E9E7-9730-4118-90CA-EAE208301E43}"/>
    <cellStyle name="Note 3 5 11" xfId="2273" xr:uid="{F28E4978-AAD1-4FFA-A04B-3E45F9217749}"/>
    <cellStyle name="Note 3 5 12" xfId="1444" xr:uid="{1B69975F-E608-4AAC-9A8F-65C9A22A36CA}"/>
    <cellStyle name="Note 3 5 2" xfId="1029" xr:uid="{00000000-0005-0000-0000-0000FC030000}"/>
    <cellStyle name="Note 3 5 2 2" xfId="5747" xr:uid="{6321C76C-F0BA-4275-B58B-0D91453ECF92}"/>
    <cellStyle name="Note 3 5 2 2 2" xfId="9965" xr:uid="{CEE485A0-E253-4637-B44E-2B0363F62ADB}"/>
    <cellStyle name="Note 3 5 2 3" xfId="7820" xr:uid="{F15C5330-EF9A-466E-96FD-F6221A36E5A7}"/>
    <cellStyle name="Note 3 5 2 4" xfId="3518" xr:uid="{BBCD3B99-68E1-42BC-B821-68055AED06D0}"/>
    <cellStyle name="Note 3 5 2 5" xfId="2689" xr:uid="{AAF7AE43-270A-44F7-A39B-285479CF5FB2}"/>
    <cellStyle name="Note 3 5 2 6" xfId="1860" xr:uid="{B3D9676F-F880-415E-A51C-A303D1D7781C}"/>
    <cellStyle name="Note 3 5 3" xfId="3931" xr:uid="{38E271D7-E7DA-4EDF-AC3F-4D27CEB45C41}"/>
    <cellStyle name="Note 3 5 3 2" xfId="6160" xr:uid="{4CA82AC3-BCA1-459E-BFA7-D512689807FB}"/>
    <cellStyle name="Note 3 5 3 2 2" xfId="10378" xr:uid="{B49E7F4E-A03D-405A-9211-150AE96E0DC9}"/>
    <cellStyle name="Note 3 5 3 3" xfId="8233" xr:uid="{220D39B5-EFF1-45AA-8D69-798DA0C205C7}"/>
    <cellStyle name="Note 3 5 4" xfId="4344" xr:uid="{F87AA902-C82E-40C7-BF16-2C4B8A16BC42}"/>
    <cellStyle name="Note 3 5 4 2" xfId="6573" xr:uid="{0EA8F35C-C519-46BA-9DB9-F796B040E1F9}"/>
    <cellStyle name="Note 3 5 4 2 2" xfId="10791" xr:uid="{B292DE1F-2D03-4387-9470-C7D3B34DC7F1}"/>
    <cellStyle name="Note 3 5 4 3" xfId="8646" xr:uid="{AC9F9C61-FF36-44DF-9699-AB1B1EAC3A5A}"/>
    <cellStyle name="Note 3 5 5" xfId="4757" xr:uid="{C16D84A6-1AB8-4833-BC8E-8BC728CCCE1D}"/>
    <cellStyle name="Note 3 5 5 2" xfId="6986" xr:uid="{39147B1C-0E46-4EF0-89DD-6ABAA9FFDF39}"/>
    <cellStyle name="Note 3 5 5 2 2" xfId="11204" xr:uid="{3BE871C4-6175-4BE6-9DC3-242C94D7AC8E}"/>
    <cellStyle name="Note 3 5 5 3" xfId="9059" xr:uid="{2759AD41-33A1-4F44-BC2E-2484F3F7C367}"/>
    <cellStyle name="Note 3 5 6" xfId="5193" xr:uid="{BF893C4E-6F13-45F6-9D20-215F7011BD96}"/>
    <cellStyle name="Note 3 5 6 2" xfId="9472" xr:uid="{90E7BE87-C36F-47D5-8A15-EA62DBCB13CC}"/>
    <cellStyle name="Note 3 5 7" xfId="5252" xr:uid="{446BBFFE-2CFD-43D4-A56A-FD061FB4A8DA}"/>
    <cellStyle name="Note 3 5 8" xfId="5333" xr:uid="{4B55BF4E-A4FB-40D5-95DD-BD1445451ADE}"/>
    <cellStyle name="Note 3 5 8 2" xfId="9552" xr:uid="{31D4EBE3-1593-4EC1-9000-D6E71C5EB11F}"/>
    <cellStyle name="Note 3 5 9" xfId="7407" xr:uid="{BBE80D9E-BA9C-4934-869D-29C7C6D20637}"/>
    <cellStyle name="Output" xfId="566" builtinId="21" customBuiltin="1"/>
    <cellStyle name="Output 2" xfId="567" xr:uid="{00000000-0005-0000-0000-0000FE030000}"/>
    <cellStyle name="Percent" xfId="573" builtinId="5"/>
    <cellStyle name="Percent 2" xfId="1030" xr:uid="{00000000-0005-0000-0000-000000040000}"/>
    <cellStyle name="Percent 20" xfId="11226" xr:uid="{A075DAE4-E5D3-46D6-99E3-6C23BFC6A87C}"/>
    <cellStyle name="Percent 3" xfId="577" xr:uid="{00000000-0005-0000-0000-000001040000}"/>
    <cellStyle name="Percent 3 2" xfId="6990" xr:uid="{64AC53E7-EEC0-4BA1-8EB8-4F388404D20E}"/>
    <cellStyle name="Percent 3 3" xfId="2276" xr:uid="{106AEE36-8983-4006-9DDF-96F796E6366D}"/>
    <cellStyle name="Percent 3 4" xfId="1447" xr:uid="{A72E16BC-49E8-426F-8FDE-C3B7B4CDBFDC}"/>
    <cellStyle name="Percent 4" xfId="6993" xr:uid="{53A3738E-A0D1-4138-BCA2-9C067E51E226}"/>
    <cellStyle name="Percent 4 2" xfId="11207" xr:uid="{9E70F10F-3671-4B1B-BCF6-826E0E1428C0}"/>
    <cellStyle name="Percent 4 3" xfId="11210" xr:uid="{CCE0ED24-2745-4B2E-A1BD-CE799A8F60AB}"/>
    <cellStyle name="Percent 4 3 2" xfId="11213" xr:uid="{EE1885A3-CDDE-47EA-94F2-BE4116D492EA}"/>
    <cellStyle name="Percent 4 3 2 2" xfId="11216" xr:uid="{DFA0D25F-A158-4957-9626-9C46450B0EAD}"/>
    <cellStyle name="Percent 4 3 2 2 2" xfId="11220" xr:uid="{CBCA9846-62A8-462F-8B9A-57759B26C1B3}"/>
    <cellStyle name="Percent 4 3 2 2 2 2" xfId="11223" xr:uid="{7E4EFABB-79F0-4935-93CB-DFF7D802D614}"/>
    <cellStyle name="Text Entry" xfId="568" xr:uid="{00000000-0005-0000-0000-000002040000}"/>
    <cellStyle name="Title 2" xfId="569" xr:uid="{00000000-0005-0000-0000-000003040000}"/>
    <cellStyle name="Title 2 2" xfId="5253" xr:uid="{BDBDECE9-8A96-44A8-BD98-50DA80A80BB2}"/>
    <cellStyle name="Title 2 3" xfId="5334" xr:uid="{9A25D5B5-E232-40C9-A85E-53C6D4B4F4AA}"/>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88" t="s">
        <v>1859</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2323</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2317</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2003</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7" t="s">
        <v>1681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7" t="s">
        <v>2141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7" t="s">
        <v>1702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2288</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7" t="s">
        <v>1809</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1810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1806</v>
      </c>
    </row>
    <row r="366" spans="1:38" s="984" customFormat="1">
      <c r="A366"/>
      <c r="B366" s="3"/>
      <c r="C366"/>
      <c r="D366"/>
    </row>
    <row r="367" spans="1:38">
      <c r="B367" s="3"/>
      <c r="F367" s="982" t="s">
        <v>1807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4" workbookViewId="0">
      <selection activeCell="H80" sqref="H80"/>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0" t="s">
        <v>1851</v>
      </c>
      <c r="B1" s="1960"/>
      <c r="C1" s="1960"/>
      <c r="D1" s="1960"/>
      <c r="E1" s="1960"/>
      <c r="F1" s="1960"/>
      <c r="G1" s="1960"/>
      <c r="H1" s="1960"/>
      <c r="I1" s="1960"/>
      <c r="J1" s="1960"/>
      <c r="K1" s="1960"/>
      <c r="L1" s="1960"/>
      <c r="M1" s="1960"/>
      <c r="N1" s="1960"/>
      <c r="O1" s="1960"/>
      <c r="P1" s="1960"/>
      <c r="Q1" s="1960"/>
      <c r="R1" s="1960"/>
      <c r="S1" s="1960"/>
    </row>
    <row r="2" spans="1:19" ht="15" customHeight="1">
      <c r="A2" s="1960"/>
      <c r="B2" s="1960"/>
      <c r="C2" s="1960"/>
      <c r="D2" s="1960"/>
      <c r="E2" s="1960"/>
      <c r="F2" s="1960"/>
      <c r="G2" s="1960"/>
      <c r="H2" s="1960"/>
      <c r="I2" s="1960"/>
      <c r="J2" s="1960"/>
      <c r="K2" s="1960"/>
      <c r="L2" s="1960"/>
      <c r="M2" s="1960"/>
      <c r="N2" s="1960"/>
      <c r="O2" s="1960"/>
      <c r="P2" s="1960"/>
      <c r="Q2" s="1960"/>
      <c r="R2" s="1960"/>
      <c r="S2" s="1960"/>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4" t="s">
        <v>2105</v>
      </c>
      <c r="C4" s="1944"/>
      <c r="D4" s="1944"/>
      <c r="E4" s="1944"/>
      <c r="F4" s="1944"/>
      <c r="G4" s="1944"/>
      <c r="H4" s="1944"/>
      <c r="I4" s="1944"/>
      <c r="J4" s="1944"/>
      <c r="K4" s="1944"/>
      <c r="L4" s="1944"/>
      <c r="M4" s="1944"/>
      <c r="N4" s="1944"/>
      <c r="O4" s="1944"/>
      <c r="P4" s="1944"/>
      <c r="Q4" s="1944"/>
      <c r="R4" s="1944"/>
    </row>
    <row r="5" spans="1:19" ht="15" customHeight="1">
      <c r="A5" s="504"/>
      <c r="B5" s="1944"/>
      <c r="C5" s="1944"/>
      <c r="D5" s="1944"/>
      <c r="E5" s="1944"/>
      <c r="F5" s="1944"/>
      <c r="G5" s="1944"/>
      <c r="H5" s="1944"/>
      <c r="I5" s="1944"/>
      <c r="J5" s="1944"/>
      <c r="K5" s="1944"/>
      <c r="L5" s="1944"/>
      <c r="M5" s="1944"/>
      <c r="N5" s="1944"/>
      <c r="O5" s="1944"/>
      <c r="P5" s="1944"/>
      <c r="Q5" s="1944"/>
      <c r="R5" s="1944"/>
    </row>
    <row r="6" spans="1:19" ht="15" customHeight="1">
      <c r="A6" s="504"/>
      <c r="B6" s="1944"/>
      <c r="C6" s="1944"/>
      <c r="D6" s="1944"/>
      <c r="E6" s="1944"/>
      <c r="F6" s="1944"/>
      <c r="G6" s="1944"/>
      <c r="H6" s="1944"/>
      <c r="I6" s="1944"/>
      <c r="J6" s="1944"/>
      <c r="K6" s="1944"/>
      <c r="L6" s="1944"/>
      <c r="M6" s="1944"/>
      <c r="N6" s="1944"/>
      <c r="O6" s="1944"/>
      <c r="P6" s="1944"/>
      <c r="Q6" s="1944"/>
      <c r="R6" s="194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4" t="s">
        <v>2211</v>
      </c>
      <c r="C8" s="1944"/>
      <c r="D8" s="1944"/>
      <c r="E8" s="1944"/>
      <c r="F8" s="1944"/>
      <c r="G8" s="1944"/>
      <c r="H8" s="1944"/>
      <c r="I8" s="1944"/>
      <c r="J8" s="1944"/>
      <c r="K8" s="1944"/>
      <c r="L8" s="1944"/>
      <c r="M8" s="1944"/>
      <c r="N8" s="1944"/>
      <c r="O8" s="1944"/>
      <c r="P8" s="1944"/>
      <c r="Q8" s="1944"/>
      <c r="R8" s="194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4" t="s">
        <v>2190</v>
      </c>
      <c r="C10" s="1944"/>
      <c r="D10" s="1944"/>
      <c r="E10" s="1944"/>
      <c r="F10" s="1944"/>
      <c r="G10" s="1944"/>
      <c r="H10" s="1944"/>
      <c r="I10" s="1944"/>
      <c r="J10" s="1944"/>
      <c r="K10" s="1944"/>
      <c r="L10" s="1944"/>
      <c r="M10" s="1944"/>
      <c r="N10" s="1944"/>
      <c r="O10" s="1944"/>
      <c r="P10" s="1944"/>
      <c r="Q10" s="1944"/>
      <c r="R10" s="1944"/>
    </row>
    <row r="11" spans="1:19" ht="29.25" customHeight="1">
      <c r="A11" s="504"/>
      <c r="B11" s="1944"/>
      <c r="C11" s="1944"/>
      <c r="D11" s="1944"/>
      <c r="E11" s="1944"/>
      <c r="F11" s="1944"/>
      <c r="G11" s="1944"/>
      <c r="H11" s="1944"/>
      <c r="I11" s="1944"/>
      <c r="J11" s="1944"/>
      <c r="K11" s="1944"/>
      <c r="L11" s="1944"/>
      <c r="M11" s="1944"/>
      <c r="N11" s="1944"/>
      <c r="O11" s="1944"/>
      <c r="P11" s="1944"/>
      <c r="Q11" s="1944"/>
      <c r="R11" s="194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4" t="s">
        <v>2106</v>
      </c>
      <c r="C13" s="1944"/>
      <c r="D13" s="1944"/>
      <c r="E13" s="1944"/>
      <c r="F13" s="1944"/>
      <c r="G13" s="1944"/>
      <c r="H13" s="1944"/>
      <c r="I13" s="1944"/>
      <c r="J13" s="1944"/>
      <c r="K13" s="1944"/>
      <c r="L13" s="1944"/>
      <c r="M13" s="1944"/>
      <c r="N13" s="1944"/>
      <c r="O13" s="1944"/>
      <c r="P13" s="1944"/>
      <c r="Q13" s="1944"/>
      <c r="R13" s="1944"/>
    </row>
    <row r="14" spans="1:19" ht="15" customHeight="1">
      <c r="A14" s="504"/>
      <c r="B14" s="1944"/>
      <c r="C14" s="1944"/>
      <c r="D14" s="1944"/>
      <c r="E14" s="1944"/>
      <c r="F14" s="1944"/>
      <c r="G14" s="1944"/>
      <c r="H14" s="1944"/>
      <c r="I14" s="1944"/>
      <c r="J14" s="1944"/>
      <c r="K14" s="1944"/>
      <c r="L14" s="1944"/>
      <c r="M14" s="1944"/>
      <c r="N14" s="1944"/>
      <c r="O14" s="1944"/>
      <c r="P14" s="1944"/>
      <c r="Q14" s="1944"/>
      <c r="R14" s="1944"/>
    </row>
    <row r="15" spans="1:19" ht="15" customHeight="1">
      <c r="A15" s="504"/>
      <c r="B15" s="1944"/>
      <c r="C15" s="1944"/>
      <c r="D15" s="1944"/>
      <c r="E15" s="1944"/>
      <c r="F15" s="1944"/>
      <c r="G15" s="1944"/>
      <c r="H15" s="1944"/>
      <c r="I15" s="1944"/>
      <c r="J15" s="1944"/>
      <c r="K15" s="1944"/>
      <c r="L15" s="1944"/>
      <c r="M15" s="1944"/>
      <c r="N15" s="1944"/>
      <c r="O15" s="1944"/>
      <c r="P15" s="1944"/>
      <c r="Q15" s="1944"/>
      <c r="R15" s="1944"/>
    </row>
    <row r="16" spans="1:19" ht="15" customHeight="1">
      <c r="A16" s="504"/>
      <c r="B16" s="1944"/>
      <c r="C16" s="1944"/>
      <c r="D16" s="1944"/>
      <c r="E16" s="1944"/>
      <c r="F16" s="1944"/>
      <c r="G16" s="1944"/>
      <c r="H16" s="1944"/>
      <c r="I16" s="1944"/>
      <c r="J16" s="1944"/>
      <c r="K16" s="1944"/>
      <c r="L16" s="1944"/>
      <c r="M16" s="1944"/>
      <c r="N16" s="1944"/>
      <c r="O16" s="1944"/>
      <c r="P16" s="1944"/>
      <c r="Q16" s="1944"/>
      <c r="R16" s="1944"/>
    </row>
    <row r="17" spans="1:18" ht="15" customHeight="1">
      <c r="A17" s="504"/>
      <c r="B17" s="1944"/>
      <c r="C17" s="1944"/>
      <c r="D17" s="1944"/>
      <c r="E17" s="1944"/>
      <c r="F17" s="1944"/>
      <c r="G17" s="1944"/>
      <c r="H17" s="1944"/>
      <c r="I17" s="1944"/>
      <c r="J17" s="1944"/>
      <c r="K17" s="1944"/>
      <c r="L17" s="1944"/>
      <c r="M17" s="1944"/>
      <c r="N17" s="1944"/>
      <c r="O17" s="1944"/>
      <c r="P17" s="1944"/>
      <c r="Q17" s="1944"/>
      <c r="R17" s="194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4" t="s">
        <v>1790</v>
      </c>
      <c r="C19" s="1944"/>
      <c r="D19" s="1944"/>
      <c r="E19" s="1944"/>
      <c r="F19" s="1944"/>
      <c r="G19" s="1944"/>
      <c r="H19" s="1944"/>
      <c r="I19" s="1944"/>
      <c r="J19" s="1944"/>
      <c r="K19" s="1944"/>
      <c r="L19" s="1944"/>
      <c r="M19" s="1944"/>
      <c r="N19" s="1944"/>
      <c r="O19" s="1944"/>
      <c r="P19" s="1944"/>
      <c r="Q19" s="1944"/>
      <c r="R19" s="1944"/>
    </row>
    <row r="20" spans="1:18" ht="15" customHeight="1">
      <c r="A20" s="504"/>
      <c r="B20" s="1944"/>
      <c r="C20" s="1944"/>
      <c r="D20" s="1944"/>
      <c r="E20" s="1944"/>
      <c r="F20" s="1944"/>
      <c r="G20" s="1944"/>
      <c r="H20" s="1944"/>
      <c r="I20" s="1944"/>
      <c r="J20" s="1944"/>
      <c r="K20" s="1944"/>
      <c r="L20" s="1944"/>
      <c r="M20" s="1944"/>
      <c r="N20" s="1944"/>
      <c r="O20" s="1944"/>
      <c r="P20" s="1944"/>
      <c r="Q20" s="1944"/>
      <c r="R20" s="1944"/>
    </row>
    <row r="21" spans="1:18" ht="15" customHeight="1">
      <c r="A21" s="504"/>
      <c r="B21" s="1944"/>
      <c r="C21" s="1944"/>
      <c r="D21" s="1944"/>
      <c r="E21" s="1944"/>
      <c r="F21" s="1944"/>
      <c r="G21" s="1944"/>
      <c r="H21" s="1944"/>
      <c r="I21" s="1944"/>
      <c r="J21" s="1944"/>
      <c r="K21" s="1944"/>
      <c r="L21" s="1944"/>
      <c r="M21" s="1944"/>
      <c r="N21" s="1944"/>
      <c r="O21" s="1944"/>
      <c r="P21" s="1944"/>
      <c r="Q21" s="1944"/>
      <c r="R21" s="194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4" t="s">
        <v>1791</v>
      </c>
      <c r="C23" s="1944"/>
      <c r="D23" s="1944"/>
      <c r="E23" s="1944"/>
      <c r="F23" s="1944"/>
      <c r="G23" s="1944"/>
      <c r="H23" s="1944"/>
      <c r="I23" s="1944"/>
      <c r="J23" s="1944"/>
      <c r="K23" s="1944"/>
      <c r="L23" s="1944"/>
      <c r="M23" s="1944"/>
      <c r="N23" s="1944"/>
      <c r="O23" s="1944"/>
      <c r="P23" s="1944"/>
      <c r="Q23" s="1944"/>
      <c r="R23" s="1944"/>
    </row>
    <row r="24" spans="1:18" ht="15" customHeight="1">
      <c r="B24" s="1944"/>
      <c r="C24" s="1944"/>
      <c r="D24" s="1944"/>
      <c r="E24" s="1944"/>
      <c r="F24" s="1944"/>
      <c r="G24" s="1944"/>
      <c r="H24" s="1944"/>
      <c r="I24" s="1944"/>
      <c r="J24" s="1944"/>
      <c r="K24" s="1944"/>
      <c r="L24" s="1944"/>
      <c r="M24" s="1944"/>
      <c r="N24" s="1944"/>
      <c r="O24" s="1944"/>
      <c r="P24" s="1944"/>
      <c r="Q24" s="1944"/>
      <c r="R24" s="194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4" t="s">
        <v>1689</v>
      </c>
      <c r="C26" s="1944"/>
      <c r="D26" s="1944"/>
      <c r="E26" s="1944"/>
      <c r="F26" s="1944"/>
      <c r="G26" s="1944"/>
      <c r="H26" s="1944"/>
      <c r="I26" s="1944"/>
      <c r="J26" s="1944"/>
      <c r="K26" s="1944"/>
      <c r="L26" s="1944"/>
      <c r="M26" s="1944"/>
      <c r="N26" s="1944"/>
      <c r="O26" s="1944"/>
      <c r="P26" s="1944"/>
      <c r="Q26" s="1944"/>
      <c r="R26" s="194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52" t="s">
        <v>1603</v>
      </c>
      <c r="C29" s="1952"/>
      <c r="D29" s="1952"/>
      <c r="E29" s="1952"/>
      <c r="F29" s="1952"/>
      <c r="G29" s="1952"/>
      <c r="H29" s="373"/>
      <c r="I29" s="373"/>
      <c r="J29" s="373"/>
      <c r="K29" s="373"/>
      <c r="L29" s="373"/>
      <c r="M29" s="373"/>
      <c r="N29" s="373"/>
      <c r="O29" s="1950" t="s">
        <v>1612</v>
      </c>
    </row>
    <row r="30" spans="1:18" ht="15" customHeight="1">
      <c r="B30" s="1952"/>
      <c r="C30" s="1952"/>
      <c r="D30" s="1952"/>
      <c r="E30" s="1952"/>
      <c r="F30" s="1952"/>
      <c r="G30" s="1952"/>
      <c r="H30" s="373"/>
      <c r="I30" s="373"/>
      <c r="J30" s="373"/>
      <c r="K30" s="373"/>
      <c r="L30" s="373"/>
      <c r="M30" s="373"/>
      <c r="N30" s="373"/>
      <c r="O30" s="1950"/>
    </row>
    <row r="31" spans="1:18" ht="15" customHeight="1">
      <c r="B31" s="1952"/>
      <c r="C31" s="1952"/>
      <c r="D31" s="1952"/>
      <c r="E31" s="1952"/>
      <c r="F31" s="1952"/>
      <c r="G31" s="1952"/>
      <c r="H31" s="373"/>
      <c r="I31" s="373"/>
      <c r="J31" s="373"/>
      <c r="K31" s="373"/>
      <c r="L31" s="373"/>
      <c r="M31" s="373"/>
      <c r="N31" s="373"/>
      <c r="O31" s="1950"/>
    </row>
    <row r="32" spans="1:18" ht="15" customHeight="1">
      <c r="B32" s="1953"/>
      <c r="C32" s="1953"/>
      <c r="D32" s="1953"/>
      <c r="E32" s="1953"/>
      <c r="F32" s="1953"/>
      <c r="G32" s="1953"/>
      <c r="I32" s="1954" t="s">
        <v>139</v>
      </c>
      <c r="J32" s="1955" t="s">
        <v>992</v>
      </c>
      <c r="K32" s="1956">
        <v>1</v>
      </c>
      <c r="M32" s="506"/>
      <c r="O32" s="1951"/>
      <c r="P32" s="1955" t="s">
        <v>1929</v>
      </c>
    </row>
    <row r="33" spans="1:21" ht="15" customHeight="1">
      <c r="B33" s="1957" t="s">
        <v>1607</v>
      </c>
      <c r="C33" s="1957"/>
      <c r="D33" s="1957"/>
      <c r="E33" s="1957"/>
      <c r="F33" s="1957"/>
      <c r="G33" s="1957"/>
      <c r="I33" s="1954"/>
      <c r="J33" s="1955"/>
      <c r="K33" s="1956"/>
      <c r="M33" s="507"/>
      <c r="O33" s="1957" t="s">
        <v>1607</v>
      </c>
      <c r="P33" s="1955"/>
    </row>
    <row r="34" spans="1:21" ht="15" customHeight="1">
      <c r="B34" s="1954"/>
      <c r="C34" s="1954"/>
      <c r="D34" s="1954"/>
      <c r="E34" s="1954"/>
      <c r="F34" s="1954"/>
      <c r="G34" s="1954"/>
      <c r="I34" s="645"/>
      <c r="J34" s="644"/>
      <c r="K34" s="524"/>
      <c r="M34" s="507"/>
      <c r="O34" s="195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1" t="s">
        <v>1597</v>
      </c>
      <c r="C37" s="1961"/>
      <c r="D37" s="1961"/>
      <c r="E37" s="1961"/>
      <c r="F37" s="513"/>
      <c r="G37" s="513"/>
      <c r="H37" s="514"/>
      <c r="I37" s="373"/>
      <c r="J37" s="373"/>
      <c r="L37" s="526"/>
      <c r="M37" s="526"/>
      <c r="N37" s="526"/>
      <c r="O37" s="526"/>
      <c r="P37" s="526"/>
      <c r="Q37" s="526"/>
      <c r="R37" s="526"/>
      <c r="S37" s="526"/>
    </row>
    <row r="38" spans="1:21" ht="15" customHeight="1">
      <c r="B38" s="1966" t="s">
        <v>1613</v>
      </c>
      <c r="C38" s="1966"/>
      <c r="D38" s="1966"/>
      <c r="E38" s="1966"/>
      <c r="F38" s="647"/>
      <c r="G38" s="515">
        <f>D110</f>
        <v>0</v>
      </c>
      <c r="H38" s="381"/>
      <c r="I38" s="516"/>
      <c r="J38" s="381"/>
      <c r="K38" s="1973" t="s">
        <v>2208</v>
      </c>
      <c r="L38" s="1973"/>
      <c r="M38" s="1973"/>
      <c r="N38" s="1973"/>
      <c r="O38" s="1973"/>
      <c r="P38" s="1973"/>
      <c r="Q38" s="1973"/>
      <c r="R38" s="1973"/>
      <c r="S38" s="1973"/>
    </row>
    <row r="39" spans="1:21" ht="15" customHeight="1">
      <c r="B39" s="1967" t="s">
        <v>1283</v>
      </c>
      <c r="C39" s="1967"/>
      <c r="D39" s="1967"/>
      <c r="E39" s="1967"/>
      <c r="F39" s="647"/>
      <c r="G39" s="629"/>
      <c r="H39" s="381"/>
      <c r="I39" s="516"/>
      <c r="J39" s="381"/>
      <c r="K39" s="1973"/>
      <c r="L39" s="1973"/>
      <c r="M39" s="1973"/>
      <c r="N39" s="1973"/>
      <c r="O39" s="1973"/>
      <c r="P39" s="1973"/>
      <c r="Q39" s="1973"/>
      <c r="R39" s="1973"/>
      <c r="S39" s="1973"/>
    </row>
    <row r="40" spans="1:21" ht="15" customHeight="1">
      <c r="B40" s="1967" t="s">
        <v>1284</v>
      </c>
      <c r="C40" s="1967"/>
      <c r="D40" s="1967"/>
      <c r="E40" s="1967"/>
      <c r="F40" s="647"/>
      <c r="G40" s="629"/>
      <c r="H40" s="381"/>
      <c r="I40" s="516"/>
      <c r="J40" s="381"/>
      <c r="K40" s="1973"/>
      <c r="L40" s="1973"/>
      <c r="M40" s="1973"/>
      <c r="N40" s="1973"/>
      <c r="O40" s="1973"/>
      <c r="P40" s="1973"/>
      <c r="Q40" s="1973"/>
      <c r="R40" s="1973"/>
      <c r="S40" s="1973"/>
    </row>
    <row r="41" spans="1:21" ht="15" customHeight="1">
      <c r="B41" s="1968" t="s">
        <v>1608</v>
      </c>
      <c r="C41" s="1968"/>
      <c r="D41" s="1968"/>
      <c r="E41" s="1968"/>
      <c r="F41" s="647"/>
      <c r="G41" s="381"/>
      <c r="H41" s="381"/>
      <c r="I41" s="516"/>
      <c r="J41" s="381"/>
      <c r="K41" s="1972" t="s">
        <v>124</v>
      </c>
      <c r="L41" s="1972"/>
      <c r="M41" s="1972"/>
      <c r="N41" s="1972"/>
      <c r="O41" s="1972"/>
      <c r="P41" s="1972"/>
      <c r="Q41" s="1972"/>
      <c r="R41" s="1972"/>
      <c r="S41" s="1972"/>
    </row>
    <row r="42" spans="1:21" ht="15" customHeight="1">
      <c r="B42" s="631" t="s">
        <v>2461</v>
      </c>
      <c r="C42" s="631"/>
      <c r="D42" s="625"/>
      <c r="E42" s="649">
        <f>+Application!AO629+Application!AO630</f>
        <v>8189315</v>
      </c>
      <c r="F42" s="647"/>
      <c r="G42" s="381"/>
      <c r="H42" s="381"/>
      <c r="I42" s="516"/>
      <c r="J42" s="381"/>
      <c r="K42" s="1971"/>
      <c r="L42" s="1971"/>
      <c r="M42" s="1971"/>
      <c r="N42" s="1971"/>
      <c r="O42" s="1971"/>
      <c r="Q42" s="1974"/>
      <c r="R42" s="1974"/>
      <c r="U42" s="751" t="s">
        <v>124</v>
      </c>
    </row>
    <row r="43" spans="1:21" ht="15" customHeight="1">
      <c r="B43" s="631" t="s">
        <v>2458</v>
      </c>
      <c r="C43" s="631"/>
      <c r="D43" s="501"/>
      <c r="E43" s="649">
        <f>+Application!AO632</f>
        <v>7580888</v>
      </c>
      <c r="F43" s="647"/>
      <c r="G43" s="381"/>
      <c r="H43" s="381"/>
      <c r="I43" s="516"/>
      <c r="J43" s="381"/>
      <c r="L43" s="381"/>
      <c r="M43" s="373"/>
      <c r="N43" s="373"/>
      <c r="O43" s="373"/>
      <c r="Q43" s="517"/>
      <c r="R43" s="517"/>
      <c r="U43" s="751" t="s">
        <v>2207</v>
      </c>
    </row>
    <row r="44" spans="1:21" ht="15" customHeight="1">
      <c r="B44" s="631"/>
      <c r="C44" s="631"/>
      <c r="D44" s="501"/>
      <c r="E44" s="649"/>
      <c r="F44" s="647"/>
      <c r="G44" s="381"/>
      <c r="H44" s="381"/>
      <c r="I44" s="516"/>
      <c r="K44" s="380" t="s">
        <v>1842</v>
      </c>
      <c r="Q44" s="1974"/>
      <c r="R44" s="1974"/>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48" t="s">
        <v>1838</v>
      </c>
      <c r="L46" s="1948"/>
      <c r="M46" s="1948"/>
      <c r="N46" s="1948"/>
      <c r="O46" s="1948"/>
      <c r="Q46" s="1945"/>
      <c r="R46" s="1945"/>
    </row>
    <row r="47" spans="1:21" ht="15" customHeight="1">
      <c r="B47" s="631"/>
      <c r="C47" s="631"/>
      <c r="D47" s="501"/>
      <c r="E47" s="649"/>
      <c r="F47" s="647"/>
      <c r="G47" s="381"/>
      <c r="H47" s="381"/>
      <c r="I47" s="516"/>
      <c r="J47" s="381"/>
      <c r="K47" s="1949" t="s">
        <v>1839</v>
      </c>
      <c r="L47" s="1949"/>
      <c r="M47" s="1949"/>
      <c r="N47" s="1949"/>
      <c r="O47" s="1949"/>
      <c r="Q47" s="1947"/>
      <c r="R47" s="1947"/>
    </row>
    <row r="48" spans="1:21" ht="15" customHeight="1">
      <c r="B48" s="631"/>
      <c r="C48" s="631"/>
      <c r="D48" s="501"/>
      <c r="E48" s="649"/>
      <c r="F48" s="647"/>
      <c r="G48" s="381"/>
      <c r="H48" s="381"/>
      <c r="I48" s="516"/>
      <c r="J48" s="381"/>
      <c r="K48" s="1946" t="s">
        <v>1840</v>
      </c>
      <c r="L48" s="1946"/>
      <c r="M48" s="1946"/>
      <c r="N48" s="1946"/>
      <c r="O48" s="1946"/>
      <c r="Q48" s="1948">
        <f>Q46+Q47</f>
        <v>0</v>
      </c>
      <c r="R48" s="1948"/>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66" t="s">
        <v>1604</v>
      </c>
      <c r="C52" s="1966"/>
      <c r="D52" s="1966"/>
      <c r="E52" s="1966"/>
      <c r="F52" s="647"/>
      <c r="G52" s="515">
        <f>SUM(E42:E49)-ABS(E50)-ABS(E51)</f>
        <v>15770203</v>
      </c>
      <c r="H52" s="381"/>
      <c r="I52" s="516"/>
      <c r="J52" s="381"/>
    </row>
    <row r="53" spans="1:29" ht="15" customHeight="1">
      <c r="C53" s="520"/>
      <c r="D53" s="520" t="s">
        <v>875</v>
      </c>
      <c r="E53" s="520"/>
      <c r="F53" s="520"/>
      <c r="G53" s="521">
        <f>SUM(G38:G40)+G52</f>
        <v>15770203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69" t="s">
        <v>1264</v>
      </c>
      <c r="C56" s="1969"/>
      <c r="D56" s="647"/>
      <c r="E56" s="647"/>
      <c r="F56" s="647"/>
      <c r="G56" s="647"/>
      <c r="H56" s="647"/>
      <c r="I56" s="647"/>
      <c r="J56" s="647"/>
      <c r="K56" s="647"/>
      <c r="L56" s="647"/>
      <c r="M56" s="647"/>
      <c r="N56" s="647"/>
      <c r="O56" s="647"/>
      <c r="P56" s="647"/>
      <c r="U56" s="948" t="s">
        <v>1785</v>
      </c>
      <c r="AC56" s="949">
        <v>0.2</v>
      </c>
    </row>
    <row r="57" spans="1:29" ht="15" customHeight="1">
      <c r="A57" s="518"/>
      <c r="B57" s="1970" t="s">
        <v>1599</v>
      </c>
      <c r="C57" s="1970"/>
      <c r="D57" s="1970"/>
      <c r="E57" s="1970"/>
      <c r="F57" s="1970"/>
      <c r="G57" s="1970"/>
      <c r="H57" s="1970"/>
      <c r="I57" s="1970"/>
      <c r="J57" s="1970"/>
      <c r="K57" s="1970"/>
      <c r="L57" s="1970"/>
      <c r="M57" s="1970"/>
      <c r="N57" s="1970"/>
      <c r="O57" s="1970"/>
      <c r="P57" s="647"/>
      <c r="U57" s="948" t="s">
        <v>1786</v>
      </c>
      <c r="AC57" s="949">
        <v>0.1</v>
      </c>
    </row>
    <row r="58" spans="1:29" ht="15" customHeight="1">
      <c r="B58" s="1961" t="s">
        <v>2206</v>
      </c>
      <c r="C58" s="1962"/>
      <c r="D58" s="1962"/>
      <c r="E58" s="1962"/>
      <c r="F58" s="523"/>
      <c r="G58" s="523"/>
      <c r="H58" s="513"/>
      <c r="I58" s="513"/>
      <c r="J58" s="1963">
        <f>('Sources and Uses Budget'!D104+Q47)/('Sources and Uses Budget'!B104+Q48)</f>
        <v>0</v>
      </c>
      <c r="K58" s="1964"/>
      <c r="L58" s="1964"/>
      <c r="M58" s="1964"/>
      <c r="N58" s="1965"/>
      <c r="O58" s="513"/>
      <c r="P58" s="513"/>
      <c r="U58" s="948" t="s">
        <v>1787</v>
      </c>
      <c r="AC58" s="949">
        <v>0.1</v>
      </c>
    </row>
    <row r="59" spans="1:29" ht="15" customHeight="1">
      <c r="B59" s="1944" t="s">
        <v>2107</v>
      </c>
      <c r="C59" s="1944"/>
      <c r="D59" s="1944"/>
      <c r="E59" s="1944"/>
      <c r="F59" s="1944"/>
      <c r="G59" s="1944"/>
      <c r="H59" s="1944"/>
      <c r="I59" s="1944"/>
      <c r="J59" s="1944"/>
      <c r="K59" s="1944"/>
      <c r="L59" s="1944"/>
      <c r="M59" s="1944"/>
      <c r="N59" s="1944"/>
      <c r="O59" s="1944"/>
      <c r="P59" s="513"/>
      <c r="U59" s="948" t="s">
        <v>1788</v>
      </c>
      <c r="AC59" s="949">
        <v>0.05</v>
      </c>
    </row>
    <row r="60" spans="1:29" ht="15" customHeight="1">
      <c r="B60" s="1944"/>
      <c r="C60" s="1944"/>
      <c r="D60" s="1944"/>
      <c r="E60" s="1944"/>
      <c r="F60" s="1944"/>
      <c r="G60" s="1944"/>
      <c r="H60" s="1944"/>
      <c r="I60" s="1944"/>
      <c r="J60" s="1944"/>
      <c r="K60" s="1944"/>
      <c r="L60" s="1944"/>
      <c r="M60" s="1944"/>
      <c r="N60" s="1944"/>
      <c r="O60" s="1944"/>
      <c r="P60" s="513"/>
      <c r="AC60" s="950"/>
    </row>
    <row r="61" spans="1:29" ht="15" customHeight="1">
      <c r="B61" s="197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70"/>
      <c r="D61" s="1970"/>
      <c r="E61" s="1970"/>
      <c r="F61" s="1970"/>
      <c r="G61" s="1970"/>
      <c r="H61" s="1970"/>
      <c r="I61" s="1970"/>
      <c r="J61" s="1970"/>
      <c r="K61" s="1970"/>
      <c r="L61" s="1970"/>
      <c r="M61" s="1970"/>
      <c r="N61" s="1970"/>
      <c r="O61" s="1970"/>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76" t="s">
        <v>2209</v>
      </c>
      <c r="K63" s="1977"/>
      <c r="L63" s="1977"/>
      <c r="M63" s="1977"/>
      <c r="N63" s="1977"/>
      <c r="O63" s="1977"/>
      <c r="P63" s="1977"/>
      <c r="Q63" s="1977"/>
      <c r="R63" s="1977"/>
    </row>
    <row r="64" spans="1:29" ht="15" customHeight="1" thickBot="1">
      <c r="B64" s="1969" t="s">
        <v>1609</v>
      </c>
      <c r="C64" s="1969"/>
      <c r="D64" s="373"/>
      <c r="F64" s="373"/>
      <c r="G64" s="520" t="s">
        <v>1841</v>
      </c>
      <c r="H64" s="373"/>
      <c r="I64" s="755"/>
      <c r="J64" s="1978"/>
      <c r="K64" s="1979"/>
      <c r="L64" s="1979"/>
      <c r="M64" s="1979"/>
      <c r="N64" s="1979"/>
      <c r="O64" s="1979"/>
      <c r="P64" s="1979"/>
      <c r="Q64" s="1979"/>
      <c r="R64" s="1979"/>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78"/>
      <c r="K65" s="1979"/>
      <c r="L65" s="1979"/>
      <c r="M65" s="1979"/>
      <c r="N65" s="1979"/>
      <c r="O65" s="1979"/>
      <c r="P65" s="1979"/>
      <c r="Q65" s="1979"/>
      <c r="R65" s="1979"/>
      <c r="U65" s="947">
        <f>IF(J67="Non-rural project, Census Tract is Highest Resource (20 percentage points)",AC56,0)</f>
        <v>0</v>
      </c>
    </row>
    <row r="66" spans="1:22" ht="15" customHeight="1" thickBot="1">
      <c r="B66" s="525" t="s">
        <v>1677</v>
      </c>
      <c r="C66" s="635">
        <f>Application!AG438-Application!AG439</f>
        <v>46</v>
      </c>
      <c r="D66" s="785"/>
      <c r="E66" s="525" t="s">
        <v>1844</v>
      </c>
      <c r="F66" s="785"/>
      <c r="G66" s="652"/>
      <c r="H66" s="526"/>
      <c r="I66" s="756"/>
      <c r="J66" s="1978"/>
      <c r="K66" s="1979"/>
      <c r="L66" s="1979"/>
      <c r="M66" s="1979"/>
      <c r="N66" s="1979"/>
      <c r="O66" s="1979"/>
      <c r="P66" s="1979"/>
      <c r="Q66" s="1979"/>
      <c r="R66" s="1979"/>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46</v>
      </c>
      <c r="H67" s="526"/>
      <c r="I67" s="756"/>
      <c r="J67" s="1975" t="s">
        <v>1788</v>
      </c>
      <c r="K67" s="1972"/>
      <c r="L67" s="1972"/>
      <c r="M67" s="1972"/>
      <c r="N67" s="1972"/>
      <c r="O67" s="1972"/>
      <c r="P67" s="1972"/>
      <c r="Q67" s="1972"/>
      <c r="R67" s="197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0.05</v>
      </c>
    </row>
    <row r="69" spans="1:22" ht="15" customHeight="1">
      <c r="U69" s="1958">
        <f>SUM(U62:U68)</f>
        <v>0.05</v>
      </c>
    </row>
    <row r="70" spans="1:22" ht="15" customHeight="1" thickBot="1">
      <c r="B70" s="505" t="s">
        <v>1606</v>
      </c>
      <c r="C70" s="505"/>
      <c r="D70" s="505"/>
      <c r="E70" s="505"/>
      <c r="F70" s="505"/>
      <c r="G70" s="505"/>
      <c r="U70" s="1959"/>
      <c r="V70" s="370" t="s">
        <v>1789</v>
      </c>
    </row>
    <row r="71" spans="1:22" ht="15" customHeight="1">
      <c r="B71" s="1966" t="s">
        <v>1610</v>
      </c>
      <c r="C71" s="1966"/>
      <c r="D71" s="1966"/>
      <c r="E71" s="505"/>
      <c r="F71" s="505"/>
      <c r="G71" s="515">
        <f>G53*(1-J58)</f>
        <v>15770203</v>
      </c>
      <c r="J71" s="527"/>
      <c r="K71" s="684" t="s">
        <v>1612</v>
      </c>
      <c r="L71" s="684"/>
      <c r="M71" s="684"/>
      <c r="N71" s="684"/>
      <c r="O71" s="684"/>
      <c r="Q71" s="1948">
        <f>'Basis &amp; Credits'!T23+'Basis &amp; Credits'!Y23+'Basis &amp; Credits'!AD23+'Basis &amp; Credits'!AI23</f>
        <v>11929894</v>
      </c>
      <c r="R71" s="1948"/>
    </row>
    <row r="72" spans="1:22" ht="15" customHeight="1">
      <c r="B72" s="1980" t="s">
        <v>1611</v>
      </c>
      <c r="C72" s="1980"/>
      <c r="D72" s="1980"/>
      <c r="E72" s="505"/>
      <c r="F72" s="505"/>
      <c r="G72" s="515">
        <f>G71*C67</f>
        <v>15770203</v>
      </c>
      <c r="J72" s="527"/>
      <c r="K72" s="647"/>
      <c r="L72" s="647"/>
      <c r="M72" s="647"/>
      <c r="N72" s="647"/>
      <c r="O72" s="647"/>
      <c r="Q72" s="1974"/>
      <c r="R72" s="197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81">
        <f>$G$72</f>
        <v>15770203</v>
      </c>
      <c r="C75" s="1982"/>
      <c r="D75" s="1982"/>
      <c r="E75" s="1982"/>
      <c r="F75" s="1982"/>
      <c r="G75" s="1982"/>
      <c r="H75" s="528"/>
      <c r="I75" s="1954" t="s">
        <v>139</v>
      </c>
      <c r="J75" s="1955" t="s">
        <v>992</v>
      </c>
      <c r="K75" s="1954">
        <v>1</v>
      </c>
      <c r="M75" s="392"/>
      <c r="N75" s="507"/>
      <c r="O75" s="654">
        <f>$Q$71</f>
        <v>11929894</v>
      </c>
      <c r="P75" s="1955" t="s">
        <v>1929</v>
      </c>
      <c r="Q75" s="1983" t="s">
        <v>138</v>
      </c>
      <c r="R75" s="1986">
        <f>((B75/B76)+((1-(O75/O76))/2))+U69</f>
        <v>0.89999059458297959</v>
      </c>
    </row>
    <row r="76" spans="1:22" ht="15" customHeight="1" thickBot="1">
      <c r="B76" s="1984">
        <f>'Sources and Uses Budget'!$C$104+$Q$46-($E$50+$E$51)*(1-$J$58)</f>
        <v>28015770</v>
      </c>
      <c r="C76" s="1985"/>
      <c r="D76" s="1985"/>
      <c r="E76" s="1985"/>
      <c r="F76" s="1985"/>
      <c r="G76" s="1984"/>
      <c r="I76" s="1954"/>
      <c r="J76" s="1955"/>
      <c r="K76" s="1954"/>
      <c r="M76" s="645"/>
      <c r="O76" s="653">
        <f>B76</f>
        <v>28015770</v>
      </c>
      <c r="P76" s="1955"/>
      <c r="Q76" s="1983"/>
      <c r="R76" s="1987"/>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45"/>
      <c r="R84" s="1945"/>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45"/>
      <c r="R89" s="1945"/>
    </row>
    <row r="90" spans="2:18" ht="15" customHeight="1">
      <c r="B90" s="494" t="s">
        <v>615</v>
      </c>
      <c r="C90" s="495"/>
      <c r="D90" s="496"/>
      <c r="E90" s="496"/>
      <c r="F90" s="537"/>
      <c r="G90" s="381">
        <f>MAX(($E90-$D90)*$C90*12,0)</f>
        <v>0</v>
      </c>
      <c r="I90" s="516"/>
      <c r="K90" s="753" t="s">
        <v>1621</v>
      </c>
      <c r="L90" s="681"/>
      <c r="M90" s="681"/>
      <c r="N90" s="681"/>
      <c r="O90" s="681"/>
      <c r="P90" s="681"/>
      <c r="Q90" s="1988"/>
      <c r="R90" s="1988"/>
    </row>
    <row r="91" spans="2:18" ht="15" customHeight="1">
      <c r="B91" s="494" t="s">
        <v>615</v>
      </c>
      <c r="C91" s="495"/>
      <c r="D91" s="496"/>
      <c r="E91" s="496"/>
      <c r="F91" s="537"/>
      <c r="G91" s="381">
        <f t="shared" ref="G91:G97" si="0">MAX(($E91-$D91)*$C91*12,0)</f>
        <v>0</v>
      </c>
      <c r="I91" s="516"/>
      <c r="K91" s="753" t="s">
        <v>1624</v>
      </c>
      <c r="L91" s="681"/>
      <c r="M91" s="681"/>
      <c r="N91" s="681"/>
      <c r="O91" s="681"/>
      <c r="P91" s="681"/>
      <c r="Q91" s="1949">
        <f>IFERROR(Q89/Q90,0)</f>
        <v>0</v>
      </c>
      <c r="R91" s="1949"/>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48">
        <f>MAX(Q84,Q91)</f>
        <v>0</v>
      </c>
      <c r="R93" s="1948"/>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62" sqref="C6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225000</v>
      </c>
      <c r="F4" s="381"/>
      <c r="G4" s="381">
        <f>E4*$C$4</f>
        <v>230624.99999999997</v>
      </c>
      <c r="H4" s="381"/>
      <c r="I4" s="381">
        <f>G4*$C$4</f>
        <v>236390.62499999994</v>
      </c>
      <c r="J4" s="381"/>
      <c r="K4" s="381">
        <f>I4*$C$4</f>
        <v>242300.39062499991</v>
      </c>
      <c r="L4" s="381"/>
      <c r="M4" s="381">
        <f>K4*$C$4</f>
        <v>248357.90039062488</v>
      </c>
      <c r="N4" s="381"/>
      <c r="O4" s="381">
        <f>M4*$C$4</f>
        <v>254566.84790039048</v>
      </c>
      <c r="P4" s="381"/>
      <c r="Q4" s="381">
        <f>O4*$C$4</f>
        <v>260931.01909790022</v>
      </c>
      <c r="R4" s="381"/>
      <c r="S4" s="381">
        <f>Q4*$C$4</f>
        <v>267454.29457534768</v>
      </c>
      <c r="T4" s="381"/>
      <c r="U4" s="381">
        <f>S4*$C$4</f>
        <v>274140.65193973132</v>
      </c>
      <c r="V4" s="381"/>
      <c r="W4" s="381">
        <f>U4*$C$4</f>
        <v>280994.16823822458</v>
      </c>
      <c r="X4" s="381"/>
      <c r="Y4" s="381">
        <f>W4*$C$4</f>
        <v>288019.02244418015</v>
      </c>
      <c r="Z4" s="381"/>
      <c r="AA4" s="381">
        <f>Y4*$C$4</f>
        <v>295219.49800528464</v>
      </c>
      <c r="AB4" s="381"/>
      <c r="AC4" s="381">
        <f>AA4*$C$4</f>
        <v>302599.98545541673</v>
      </c>
      <c r="AD4" s="381"/>
      <c r="AE4" s="381">
        <f>AC4*$C$4</f>
        <v>310164.98509180214</v>
      </c>
      <c r="AF4" s="381"/>
      <c r="AG4" s="381">
        <f>AE4*$C$4</f>
        <v>317919.10971909715</v>
      </c>
      <c r="AH4" s="381"/>
    </row>
    <row r="5" spans="1:34" ht="14.25">
      <c r="A5" s="373"/>
      <c r="B5" s="373" t="s">
        <v>988</v>
      </c>
      <c r="C5" s="405">
        <f>IF(Application!$D$214="Special Needs",(((0.1*Application!$V$215)+(0.05*(1-Application!$V$215)))),0.05)</f>
        <v>8.8888888888888892E-2</v>
      </c>
      <c r="D5" s="373"/>
      <c r="E5" s="383">
        <f>-E4*$C$5</f>
        <v>-20000</v>
      </c>
      <c r="F5" s="383"/>
      <c r="G5" s="383">
        <f>-G4*$C$5</f>
        <v>-20500</v>
      </c>
      <c r="H5" s="383"/>
      <c r="I5" s="383">
        <f>-I4*$C$5</f>
        <v>-21012.499999999996</v>
      </c>
      <c r="J5" s="383"/>
      <c r="K5" s="383">
        <f>-K4*$C$5</f>
        <v>-21537.812499999993</v>
      </c>
      <c r="L5" s="383"/>
      <c r="M5" s="383">
        <f>-M4*$C$5</f>
        <v>-22076.257812499989</v>
      </c>
      <c r="N5" s="383"/>
      <c r="O5" s="383">
        <f>-O4*$C$5</f>
        <v>-22628.164257812488</v>
      </c>
      <c r="P5" s="383"/>
      <c r="Q5" s="383">
        <f>-Q4*$C$5</f>
        <v>-23193.8683642578</v>
      </c>
      <c r="R5" s="383"/>
      <c r="S5" s="383">
        <f>-S4*$C$5</f>
        <v>-23773.715073364237</v>
      </c>
      <c r="T5" s="383"/>
      <c r="U5" s="383">
        <f>-U4*$C$5</f>
        <v>-24368.057950198341</v>
      </c>
      <c r="V5" s="383"/>
      <c r="W5" s="383">
        <f>-W4*$C$5</f>
        <v>-24977.259398953298</v>
      </c>
      <c r="X5" s="383"/>
      <c r="Y5" s="383">
        <f>-Y4*$C$5</f>
        <v>-25601.690883927127</v>
      </c>
      <c r="Z5" s="383"/>
      <c r="AA5" s="383">
        <f>-AA4*$C$5</f>
        <v>-26241.733156025301</v>
      </c>
      <c r="AB5" s="383"/>
      <c r="AC5" s="383">
        <f>-AC4*$C$5</f>
        <v>-26897.776484925933</v>
      </c>
      <c r="AD5" s="383"/>
      <c r="AE5" s="383">
        <f>-AE4*$C$5</f>
        <v>-27570.220897049079</v>
      </c>
      <c r="AF5" s="383"/>
      <c r="AG5" s="383">
        <f>-AG4*$C$5</f>
        <v>-28259.476419475304</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8.8888888888888892E-2</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6992</v>
      </c>
      <c r="F8" s="384"/>
      <c r="G8" s="384">
        <f>E8*$C$8</f>
        <v>7166.7999999999993</v>
      </c>
      <c r="H8" s="384"/>
      <c r="I8" s="384">
        <f>G8*$C$8</f>
        <v>7345.9699999999984</v>
      </c>
      <c r="J8" s="384"/>
      <c r="K8" s="384">
        <f>I8*$C$8</f>
        <v>7529.6192499999979</v>
      </c>
      <c r="L8" s="384"/>
      <c r="M8" s="384">
        <f>K8*$C$8</f>
        <v>7717.8597312499969</v>
      </c>
      <c r="N8" s="384"/>
      <c r="O8" s="384">
        <f>M8*$C$8</f>
        <v>7910.8062245312458</v>
      </c>
      <c r="P8" s="384"/>
      <c r="Q8" s="384">
        <f>O8*$C$8</f>
        <v>8108.5763801445264</v>
      </c>
      <c r="R8" s="384"/>
      <c r="S8" s="384">
        <f>Q8*$C$8</f>
        <v>8311.2907896481393</v>
      </c>
      <c r="T8" s="384"/>
      <c r="U8" s="384">
        <f>S8*$C$8</f>
        <v>8519.0730593893422</v>
      </c>
      <c r="V8" s="384"/>
      <c r="W8" s="384">
        <f>U8*$C$8</f>
        <v>8732.0498858740757</v>
      </c>
      <c r="X8" s="384"/>
      <c r="Y8" s="384">
        <f>W8*$C$8</f>
        <v>8950.3511330209276</v>
      </c>
      <c r="Z8" s="384"/>
      <c r="AA8" s="384">
        <f>Y8*$C$8</f>
        <v>9174.1099113464497</v>
      </c>
      <c r="AB8" s="384"/>
      <c r="AC8" s="384">
        <f>AA8*$C$8</f>
        <v>9403.4626591301094</v>
      </c>
      <c r="AD8" s="384"/>
      <c r="AE8" s="384">
        <f>AC8*$C$8</f>
        <v>9638.5492256083617</v>
      </c>
      <c r="AF8" s="384"/>
      <c r="AG8" s="384">
        <f>AE8*$C$8</f>
        <v>9879.512956248569</v>
      </c>
      <c r="AH8" s="373"/>
    </row>
    <row r="9" spans="1:34" ht="14.25">
      <c r="A9" s="373"/>
      <c r="B9" s="373" t="s">
        <v>988</v>
      </c>
      <c r="C9" s="405">
        <f>IF(Application!$D$214="Special Needs",(((0.1*Application!$V$215)+(0.05*(1-Application!$V$215)))),0.05)</f>
        <v>8.8888888888888892E-2</v>
      </c>
      <c r="D9" s="373"/>
      <c r="E9" s="383">
        <f>-E8*$C$9</f>
        <v>-621.51111111111118</v>
      </c>
      <c r="F9" s="383"/>
      <c r="G9" s="383">
        <f>-G8*$C$9</f>
        <v>-637.04888888888888</v>
      </c>
      <c r="H9" s="383"/>
      <c r="I9" s="383">
        <f>-I8*$C$9</f>
        <v>-652.975111111111</v>
      </c>
      <c r="J9" s="383"/>
      <c r="K9" s="383">
        <f>-K8*$C$9</f>
        <v>-669.29948888888873</v>
      </c>
      <c r="L9" s="383"/>
      <c r="M9" s="383">
        <f>-M8*$C$9</f>
        <v>-686.03197611111091</v>
      </c>
      <c r="N9" s="383"/>
      <c r="O9" s="383">
        <f>-O8*$C$9</f>
        <v>-703.18277551388849</v>
      </c>
      <c r="P9" s="383"/>
      <c r="Q9" s="383">
        <f>-Q8*$C$9</f>
        <v>-720.76234490173567</v>
      </c>
      <c r="R9" s="383"/>
      <c r="S9" s="383">
        <f>-S8*$C$9</f>
        <v>-738.78140352427909</v>
      </c>
      <c r="T9" s="383"/>
      <c r="U9" s="383">
        <f>-U8*$C$9</f>
        <v>-757.25093861238599</v>
      </c>
      <c r="V9" s="383"/>
      <c r="W9" s="383">
        <f>-W8*$C$9</f>
        <v>-776.18221207769568</v>
      </c>
      <c r="X9" s="383"/>
      <c r="Y9" s="383">
        <f>-Y8*$C$9</f>
        <v>-795.58676737963799</v>
      </c>
      <c r="Z9" s="383"/>
      <c r="AA9" s="383">
        <f>-AA8*$C$9</f>
        <v>-815.4764365641289</v>
      </c>
      <c r="AB9" s="383"/>
      <c r="AC9" s="383">
        <f>-AC8*$C$9</f>
        <v>-835.86334747823196</v>
      </c>
      <c r="AD9" s="383"/>
      <c r="AE9" s="383">
        <f>-AE8*$C$9</f>
        <v>-856.75993116518771</v>
      </c>
      <c r="AF9" s="383"/>
      <c r="AG9" s="383">
        <f>-AG8*$C$9</f>
        <v>-878.1789294443173</v>
      </c>
      <c r="AH9" s="373"/>
    </row>
    <row r="10" spans="1:34" ht="14.25">
      <c r="A10" s="931" t="s">
        <v>2464</v>
      </c>
      <c r="B10" s="931"/>
      <c r="C10" s="405"/>
      <c r="D10" s="373"/>
      <c r="E10" s="932">
        <v>190000</v>
      </c>
      <c r="F10" s="383"/>
      <c r="G10" s="932">
        <f>+E10*1.025</f>
        <v>194749.99999999997</v>
      </c>
      <c r="H10" s="383"/>
      <c r="I10" s="932">
        <f>+G10*1.035</f>
        <v>201566.24999999994</v>
      </c>
      <c r="J10" s="383"/>
      <c r="K10" s="932">
        <f>+I10*1.035</f>
        <v>208621.06874999992</v>
      </c>
      <c r="L10" s="383"/>
      <c r="M10" s="932">
        <f>+K10*1.035</f>
        <v>215922.80615624989</v>
      </c>
      <c r="N10" s="383"/>
      <c r="O10" s="932">
        <f t="shared" ref="O10" si="0">+M10*1.035</f>
        <v>223480.10437171863</v>
      </c>
      <c r="P10" s="383"/>
      <c r="Q10" s="932">
        <f t="shared" ref="Q10" si="1">+O10*1.035</f>
        <v>231301.90802472876</v>
      </c>
      <c r="R10" s="383"/>
      <c r="S10" s="932">
        <f t="shared" ref="S10" si="2">+Q10*1.035</f>
        <v>239397.47480559425</v>
      </c>
      <c r="T10" s="383"/>
      <c r="U10" s="932">
        <f>+S10*1.04</f>
        <v>248973.37379781803</v>
      </c>
      <c r="V10" s="383"/>
      <c r="W10" s="932">
        <f t="shared" ref="W10" si="3">+U10*1.035</f>
        <v>257687.44188074165</v>
      </c>
      <c r="X10" s="383"/>
      <c r="Y10" s="932">
        <f t="shared" ref="Y10" si="4">+W10*1.035</f>
        <v>266706.50234656758</v>
      </c>
      <c r="Z10" s="383"/>
      <c r="AA10" s="932">
        <f>+Y10*1.04</f>
        <v>277374.76244043029</v>
      </c>
      <c r="AB10" s="383"/>
      <c r="AC10" s="932">
        <f t="shared" ref="AC10" si="5">+AA10*1.035</f>
        <v>287082.87912584533</v>
      </c>
      <c r="AD10" s="383"/>
      <c r="AE10" s="932">
        <f>+AC10*1.04</f>
        <v>298566.19429087912</v>
      </c>
      <c r="AF10" s="383"/>
      <c r="AG10" s="932">
        <f>+AE10*1.04</f>
        <v>310508.84206251428</v>
      </c>
      <c r="AH10" s="373"/>
    </row>
    <row r="11" spans="1:34" ht="15">
      <c r="A11" s="385" t="s">
        <v>1075</v>
      </c>
      <c r="B11" s="385"/>
      <c r="C11" s="378"/>
      <c r="D11" s="385"/>
      <c r="E11" s="385">
        <f>SUM(E4:E10)</f>
        <v>401370.48888888885</v>
      </c>
      <c r="F11" s="385"/>
      <c r="G11" s="385">
        <f>SUM(G4:G10)</f>
        <v>411404.75111111102</v>
      </c>
      <c r="H11" s="385"/>
      <c r="I11" s="385">
        <f>SUM(I4:I10)</f>
        <v>423637.36988888879</v>
      </c>
      <c r="J11" s="385"/>
      <c r="K11" s="385">
        <f>SUM(K4:K10)</f>
        <v>436243.96663611091</v>
      </c>
      <c r="L11" s="385"/>
      <c r="M11" s="385">
        <f>SUM(M4:M10)</f>
        <v>449236.27648951369</v>
      </c>
      <c r="N11" s="385"/>
      <c r="O11" s="385">
        <f>SUM(O4:O10)</f>
        <v>462626.41146331397</v>
      </c>
      <c r="P11" s="385"/>
      <c r="Q11" s="385">
        <f>SUM(Q4:Q10)</f>
        <v>476426.87279361393</v>
      </c>
      <c r="R11" s="385"/>
      <c r="S11" s="385">
        <f>SUM(S4:S10)</f>
        <v>490650.56369370152</v>
      </c>
      <c r="T11" s="385"/>
      <c r="U11" s="385">
        <f>SUM(U4:U10)</f>
        <v>506507.78990812798</v>
      </c>
      <c r="V11" s="385"/>
      <c r="W11" s="385">
        <f>SUM(W4:W10)</f>
        <v>521660.21839380928</v>
      </c>
      <c r="X11" s="385"/>
      <c r="Y11" s="385">
        <f>SUM(Y4:Y10)</f>
        <v>537278.59827246191</v>
      </c>
      <c r="Z11" s="385"/>
      <c r="AA11" s="385">
        <f>SUM(AA4:AA10)</f>
        <v>554711.16076447198</v>
      </c>
      <c r="AB11" s="385"/>
      <c r="AC11" s="385">
        <f>SUM(AC4:AC10)</f>
        <v>571352.68740798801</v>
      </c>
      <c r="AD11" s="385"/>
      <c r="AE11" s="385">
        <f>SUM(AE4:AE10)</f>
        <v>589942.7477800753</v>
      </c>
      <c r="AF11" s="385"/>
      <c r="AG11" s="385">
        <f>SUM(AG4:AG10)</f>
        <v>609169.80938894046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30500</v>
      </c>
      <c r="F15" s="381"/>
      <c r="G15" s="381">
        <f t="shared" ref="G15:G21" si="6">E15*$C$14</f>
        <v>31567.499999999996</v>
      </c>
      <c r="H15" s="381"/>
      <c r="I15" s="381">
        <f t="shared" ref="I15:I21" si="7">G15*$C$14</f>
        <v>32672.362499999992</v>
      </c>
      <c r="J15" s="381"/>
      <c r="K15" s="381">
        <f t="shared" ref="K15:K21" si="8">I15*$C$14</f>
        <v>33815.895187499991</v>
      </c>
      <c r="L15" s="381"/>
      <c r="M15" s="381">
        <f t="shared" ref="M15:M21" si="9">K15*$C$14</f>
        <v>34999.451519062488</v>
      </c>
      <c r="N15" s="381"/>
      <c r="O15" s="381">
        <f t="shared" ref="O15:O21" si="10">M15*$C$14</f>
        <v>36224.432322229673</v>
      </c>
      <c r="P15" s="381"/>
      <c r="Q15" s="381">
        <f t="shared" ref="Q15:Q21" si="11">O15*$C$14</f>
        <v>37492.287453507706</v>
      </c>
      <c r="R15" s="381"/>
      <c r="S15" s="381">
        <f t="shared" ref="S15:S21" si="12">Q15*$C$14</f>
        <v>38804.517514380474</v>
      </c>
      <c r="T15" s="381"/>
      <c r="U15" s="381">
        <f t="shared" ref="U15:U21" si="13">S15*$C$14</f>
        <v>40162.675627383789</v>
      </c>
      <c r="V15" s="381"/>
      <c r="W15" s="381">
        <f t="shared" ref="W15:W21" si="14">U15*$C$14</f>
        <v>41568.369274342222</v>
      </c>
      <c r="X15" s="381"/>
      <c r="Y15" s="381">
        <f t="shared" ref="Y15:Y21" si="15">W15*$C$14</f>
        <v>43023.262198944198</v>
      </c>
      <c r="Z15" s="381"/>
      <c r="AA15" s="381">
        <f t="shared" ref="AA15:AA21" si="16">Y15*$C$14</f>
        <v>44529.076375907243</v>
      </c>
      <c r="AB15" s="381"/>
      <c r="AC15" s="381">
        <f t="shared" ref="AC15:AC21" si="17">AA15*$C$14</f>
        <v>46087.594049063991</v>
      </c>
      <c r="AD15" s="381"/>
      <c r="AE15" s="381">
        <f t="shared" ref="AE15:AE21" si="18">AC15*$C$14</f>
        <v>47700.659840781227</v>
      </c>
      <c r="AF15" s="381"/>
      <c r="AG15" s="381">
        <f t="shared" ref="AG15:AG21" si="19">AE15*$C$14</f>
        <v>49370.18293520857</v>
      </c>
      <c r="AH15" s="381"/>
    </row>
    <row r="16" spans="1:34" ht="14.25">
      <c r="A16" s="373" t="s">
        <v>468</v>
      </c>
      <c r="B16" s="373"/>
      <c r="C16" s="395"/>
      <c r="D16" s="373"/>
      <c r="E16" s="384">
        <f>Application!W836</f>
        <v>13127</v>
      </c>
      <c r="F16" s="384"/>
      <c r="G16" s="384">
        <f t="shared" si="6"/>
        <v>13586.445</v>
      </c>
      <c r="H16" s="384"/>
      <c r="I16" s="384">
        <f t="shared" si="7"/>
        <v>14061.970574999999</v>
      </c>
      <c r="J16" s="384"/>
      <c r="K16" s="384">
        <f t="shared" si="8"/>
        <v>14554.139545124999</v>
      </c>
      <c r="L16" s="384"/>
      <c r="M16" s="384">
        <f t="shared" si="9"/>
        <v>15063.534429204374</v>
      </c>
      <c r="N16" s="384"/>
      <c r="O16" s="384">
        <f t="shared" si="10"/>
        <v>15590.758134226526</v>
      </c>
      <c r="P16" s="384"/>
      <c r="Q16" s="384">
        <f t="shared" si="11"/>
        <v>16136.434668924452</v>
      </c>
      <c r="R16" s="384"/>
      <c r="S16" s="384">
        <f t="shared" si="12"/>
        <v>16701.209882336807</v>
      </c>
      <c r="T16" s="384"/>
      <c r="U16" s="384">
        <f t="shared" si="13"/>
        <v>17285.752228218593</v>
      </c>
      <c r="V16" s="384"/>
      <c r="W16" s="384">
        <f t="shared" si="14"/>
        <v>17890.753556206244</v>
      </c>
      <c r="X16" s="384"/>
      <c r="Y16" s="384">
        <f t="shared" si="15"/>
        <v>18516.929930673461</v>
      </c>
      <c r="Z16" s="384"/>
      <c r="AA16" s="384">
        <f t="shared" si="16"/>
        <v>19165.022478247032</v>
      </c>
      <c r="AB16" s="384"/>
      <c r="AC16" s="384">
        <f t="shared" si="17"/>
        <v>19835.798264985679</v>
      </c>
      <c r="AD16" s="384"/>
      <c r="AE16" s="384">
        <f t="shared" si="18"/>
        <v>20530.051204260177</v>
      </c>
      <c r="AF16" s="384"/>
      <c r="AG16" s="384">
        <f t="shared" si="19"/>
        <v>21248.602996409281</v>
      </c>
      <c r="AH16" s="373"/>
    </row>
    <row r="17" spans="1:34" ht="14.25">
      <c r="A17" s="373" t="s">
        <v>734</v>
      </c>
      <c r="B17" s="373"/>
      <c r="C17" s="395"/>
      <c r="D17" s="373"/>
      <c r="E17" s="384">
        <f>Application!W842</f>
        <v>55500</v>
      </c>
      <c r="F17" s="384"/>
      <c r="G17" s="384">
        <f t="shared" si="6"/>
        <v>57442.499999999993</v>
      </c>
      <c r="H17" s="384"/>
      <c r="I17" s="384">
        <f t="shared" si="7"/>
        <v>59452.987499999988</v>
      </c>
      <c r="J17" s="384"/>
      <c r="K17" s="384">
        <f t="shared" si="8"/>
        <v>61533.842062499985</v>
      </c>
      <c r="L17" s="384"/>
      <c r="M17" s="384">
        <f t="shared" si="9"/>
        <v>63687.52653468748</v>
      </c>
      <c r="N17" s="384"/>
      <c r="O17" s="384">
        <f t="shared" si="10"/>
        <v>65916.589963401537</v>
      </c>
      <c r="P17" s="384"/>
      <c r="Q17" s="384">
        <f t="shared" si="11"/>
        <v>68223.670612120579</v>
      </c>
      <c r="R17" s="384"/>
      <c r="S17" s="384">
        <f t="shared" si="12"/>
        <v>70611.499083544797</v>
      </c>
      <c r="T17" s="384"/>
      <c r="U17" s="384">
        <f t="shared" si="13"/>
        <v>73082.901551468865</v>
      </c>
      <c r="V17" s="384"/>
      <c r="W17" s="384">
        <f t="shared" si="14"/>
        <v>75640.803105770276</v>
      </c>
      <c r="X17" s="384"/>
      <c r="Y17" s="384">
        <f t="shared" si="15"/>
        <v>78288.231214472224</v>
      </c>
      <c r="Z17" s="384"/>
      <c r="AA17" s="384">
        <f t="shared" si="16"/>
        <v>81028.319306978752</v>
      </c>
      <c r="AB17" s="384"/>
      <c r="AC17" s="384">
        <f t="shared" si="17"/>
        <v>83864.310482722998</v>
      </c>
      <c r="AD17" s="384"/>
      <c r="AE17" s="384">
        <f t="shared" si="18"/>
        <v>86799.561349618292</v>
      </c>
      <c r="AF17" s="384"/>
      <c r="AG17" s="384">
        <f t="shared" si="19"/>
        <v>89837.545996854926</v>
      </c>
      <c r="AH17" s="373"/>
    </row>
    <row r="18" spans="1:34" ht="14.25">
      <c r="A18" s="373" t="s">
        <v>1079</v>
      </c>
      <c r="B18" s="373"/>
      <c r="C18" s="395"/>
      <c r="D18" s="373"/>
      <c r="E18" s="384">
        <f>Application!W849</f>
        <v>40945</v>
      </c>
      <c r="F18" s="384"/>
      <c r="G18" s="384">
        <f t="shared" si="6"/>
        <v>42378.074999999997</v>
      </c>
      <c r="H18" s="384"/>
      <c r="I18" s="384">
        <f t="shared" si="7"/>
        <v>43861.307624999994</v>
      </c>
      <c r="J18" s="384"/>
      <c r="K18" s="384">
        <f t="shared" si="8"/>
        <v>45396.453391874988</v>
      </c>
      <c r="L18" s="384"/>
      <c r="M18" s="384">
        <f t="shared" si="9"/>
        <v>46985.32926059061</v>
      </c>
      <c r="N18" s="384"/>
      <c r="O18" s="384">
        <f t="shared" si="10"/>
        <v>48629.815784711274</v>
      </c>
      <c r="P18" s="384"/>
      <c r="Q18" s="384">
        <f t="shared" si="11"/>
        <v>50331.859337176167</v>
      </c>
      <c r="R18" s="384"/>
      <c r="S18" s="384">
        <f t="shared" si="12"/>
        <v>52093.474413977332</v>
      </c>
      <c r="T18" s="384"/>
      <c r="U18" s="384">
        <f t="shared" si="13"/>
        <v>53916.746018466532</v>
      </c>
      <c r="V18" s="384"/>
      <c r="W18" s="384">
        <f t="shared" si="14"/>
        <v>55803.83212911286</v>
      </c>
      <c r="X18" s="384"/>
      <c r="Y18" s="384">
        <f t="shared" si="15"/>
        <v>57756.966253631806</v>
      </c>
      <c r="Z18" s="384"/>
      <c r="AA18" s="384">
        <f t="shared" si="16"/>
        <v>59778.460072508919</v>
      </c>
      <c r="AB18" s="384"/>
      <c r="AC18" s="384">
        <f t="shared" si="17"/>
        <v>61870.706175046726</v>
      </c>
      <c r="AD18" s="384"/>
      <c r="AE18" s="384">
        <f t="shared" si="18"/>
        <v>64036.180891173353</v>
      </c>
      <c r="AF18" s="384"/>
      <c r="AG18" s="384">
        <f t="shared" si="19"/>
        <v>66277.447222364412</v>
      </c>
    </row>
    <row r="19" spans="1:34" ht="14.25">
      <c r="A19" s="373" t="s">
        <v>931</v>
      </c>
      <c r="B19" s="373"/>
      <c r="C19" s="395"/>
      <c r="D19" s="373"/>
      <c r="E19" s="384">
        <f>Application!W850</f>
        <v>69000</v>
      </c>
      <c r="F19" s="384"/>
      <c r="G19" s="384">
        <f t="shared" si="6"/>
        <v>71415</v>
      </c>
      <c r="H19" s="384"/>
      <c r="I19" s="384">
        <f t="shared" si="7"/>
        <v>73914.524999999994</v>
      </c>
      <c r="J19" s="384"/>
      <c r="K19" s="384">
        <f t="shared" si="8"/>
        <v>76501.533374999985</v>
      </c>
      <c r="L19" s="384"/>
      <c r="M19" s="384">
        <f t="shared" si="9"/>
        <v>79179.087043124979</v>
      </c>
      <c r="N19" s="384"/>
      <c r="O19" s="384">
        <f t="shared" si="10"/>
        <v>81950.355089634351</v>
      </c>
      <c r="P19" s="384"/>
      <c r="Q19" s="384">
        <f t="shared" si="11"/>
        <v>84818.617517771549</v>
      </c>
      <c r="R19" s="384"/>
      <c r="S19" s="384">
        <f t="shared" si="12"/>
        <v>87787.269130893546</v>
      </c>
      <c r="T19" s="384"/>
      <c r="U19" s="384">
        <f t="shared" si="13"/>
        <v>90859.823550474815</v>
      </c>
      <c r="V19" s="384"/>
      <c r="W19" s="384">
        <f t="shared" si="14"/>
        <v>94039.917374741432</v>
      </c>
      <c r="X19" s="384"/>
      <c r="Y19" s="384">
        <f t="shared" si="15"/>
        <v>97331.314482857371</v>
      </c>
      <c r="Z19" s="384"/>
      <c r="AA19" s="384">
        <f t="shared" si="16"/>
        <v>100737.91048975737</v>
      </c>
      <c r="AB19" s="384"/>
      <c r="AC19" s="384">
        <f t="shared" si="17"/>
        <v>104263.73735689887</v>
      </c>
      <c r="AD19" s="384"/>
      <c r="AE19" s="384">
        <f t="shared" si="18"/>
        <v>107912.96816439032</v>
      </c>
      <c r="AF19" s="384"/>
      <c r="AG19" s="384">
        <f t="shared" si="19"/>
        <v>111689.92205014397</v>
      </c>
    </row>
    <row r="20" spans="1:34" ht="14.25">
      <c r="A20" s="373" t="s">
        <v>55</v>
      </c>
      <c r="B20" s="373"/>
      <c r="C20" s="395"/>
      <c r="D20" s="373"/>
      <c r="E20" s="384">
        <f>Application!W859</f>
        <v>59173</v>
      </c>
      <c r="F20" s="384"/>
      <c r="G20" s="384">
        <f t="shared" si="6"/>
        <v>61244.054999999993</v>
      </c>
      <c r="H20" s="384"/>
      <c r="I20" s="384">
        <f t="shared" si="7"/>
        <v>63387.596924999991</v>
      </c>
      <c r="J20" s="384"/>
      <c r="K20" s="384">
        <f t="shared" si="8"/>
        <v>65606.162817374992</v>
      </c>
      <c r="L20" s="384"/>
      <c r="M20" s="384">
        <f t="shared" si="9"/>
        <v>67902.378515983117</v>
      </c>
      <c r="N20" s="384"/>
      <c r="O20" s="384">
        <f t="shared" si="10"/>
        <v>70278.961764042528</v>
      </c>
      <c r="P20" s="384"/>
      <c r="Q20" s="384">
        <f t="shared" si="11"/>
        <v>72738.72542578401</v>
      </c>
      <c r="R20" s="384"/>
      <c r="S20" s="384">
        <f t="shared" si="12"/>
        <v>75284.580815686451</v>
      </c>
      <c r="T20" s="384"/>
      <c r="U20" s="384">
        <f t="shared" si="13"/>
        <v>77919.541144235467</v>
      </c>
      <c r="V20" s="384"/>
      <c r="W20" s="384">
        <f t="shared" si="14"/>
        <v>80646.725084283709</v>
      </c>
      <c r="X20" s="384"/>
      <c r="Y20" s="384">
        <f t="shared" si="15"/>
        <v>83469.360462233628</v>
      </c>
      <c r="Z20" s="384"/>
      <c r="AA20" s="384">
        <f t="shared" si="16"/>
        <v>86390.788078411802</v>
      </c>
      <c r="AB20" s="384"/>
      <c r="AC20" s="384">
        <f t="shared" si="17"/>
        <v>89414.46566115621</v>
      </c>
      <c r="AD20" s="384"/>
      <c r="AE20" s="384">
        <f t="shared" si="18"/>
        <v>92543.971959296672</v>
      </c>
      <c r="AF20" s="384"/>
      <c r="AG20" s="384">
        <f t="shared" si="19"/>
        <v>95783.010977872051</v>
      </c>
    </row>
    <row r="21" spans="1:34" ht="14.25">
      <c r="A21" s="596" t="s">
        <v>1219</v>
      </c>
      <c r="B21" s="596"/>
      <c r="C21" s="395"/>
      <c r="D21" s="373"/>
      <c r="E21" s="394">
        <f>Application!W866</f>
        <v>0</v>
      </c>
      <c r="F21" s="384"/>
      <c r="G21" s="394">
        <f t="shared" si="6"/>
        <v>0</v>
      </c>
      <c r="H21" s="384"/>
      <c r="I21" s="394">
        <f t="shared" si="7"/>
        <v>0</v>
      </c>
      <c r="J21" s="384"/>
      <c r="K21" s="394">
        <f t="shared" si="8"/>
        <v>0</v>
      </c>
      <c r="L21" s="384"/>
      <c r="M21" s="394">
        <f t="shared" si="9"/>
        <v>0</v>
      </c>
      <c r="N21" s="384"/>
      <c r="O21" s="394">
        <f t="shared" si="10"/>
        <v>0</v>
      </c>
      <c r="P21" s="384"/>
      <c r="Q21" s="394">
        <f t="shared" si="11"/>
        <v>0</v>
      </c>
      <c r="R21" s="384"/>
      <c r="S21" s="394">
        <f t="shared" si="12"/>
        <v>0</v>
      </c>
      <c r="T21" s="384"/>
      <c r="U21" s="394">
        <f t="shared" si="13"/>
        <v>0</v>
      </c>
      <c r="V21" s="384"/>
      <c r="W21" s="394">
        <f t="shared" si="14"/>
        <v>0</v>
      </c>
      <c r="X21" s="384"/>
      <c r="Y21" s="394">
        <f t="shared" si="15"/>
        <v>0</v>
      </c>
      <c r="Z21" s="384"/>
      <c r="AA21" s="394">
        <f t="shared" si="16"/>
        <v>0</v>
      </c>
      <c r="AB21" s="384"/>
      <c r="AC21" s="394">
        <f t="shared" si="17"/>
        <v>0</v>
      </c>
      <c r="AD21" s="384"/>
      <c r="AE21" s="394">
        <f t="shared" si="18"/>
        <v>0</v>
      </c>
      <c r="AF21" s="384"/>
      <c r="AG21" s="394">
        <f t="shared" si="19"/>
        <v>0</v>
      </c>
    </row>
    <row r="22" spans="1:34" ht="15">
      <c r="A22" s="385" t="s">
        <v>1080</v>
      </c>
      <c r="B22" s="385"/>
      <c r="C22" s="395"/>
      <c r="D22" s="385"/>
      <c r="E22" s="385">
        <f>SUM(E15:E21)</f>
        <v>268245</v>
      </c>
      <c r="F22" s="385"/>
      <c r="G22" s="385">
        <f>SUM(G15:G21)</f>
        <v>277633.57499999995</v>
      </c>
      <c r="H22" s="385"/>
      <c r="I22" s="385">
        <f>SUM(I15:I21)</f>
        <v>287350.75012499996</v>
      </c>
      <c r="J22" s="385"/>
      <c r="K22" s="385">
        <f>SUM(K15:K21)</f>
        <v>297408.0263793749</v>
      </c>
      <c r="L22" s="385"/>
      <c r="M22" s="385">
        <f>SUM(M15:M21)</f>
        <v>307817.30730265303</v>
      </c>
      <c r="N22" s="385"/>
      <c r="O22" s="385">
        <f>SUM(O15:O21)</f>
        <v>318590.9130582459</v>
      </c>
      <c r="P22" s="385"/>
      <c r="Q22" s="385">
        <f>SUM(Q15:Q21)</f>
        <v>329741.59501528449</v>
      </c>
      <c r="R22" s="385"/>
      <c r="S22" s="385">
        <f>SUM(S15:S21)</f>
        <v>341282.55084081943</v>
      </c>
      <c r="T22" s="385"/>
      <c r="U22" s="385">
        <f>SUM(U15:U21)</f>
        <v>353227.44012024807</v>
      </c>
      <c r="V22" s="385"/>
      <c r="W22" s="385">
        <f>SUM(W15:W21)</f>
        <v>365590.40052445675</v>
      </c>
      <c r="X22" s="385"/>
      <c r="Y22" s="385">
        <f>SUM(Y15:Y21)</f>
        <v>378386.06454281264</v>
      </c>
      <c r="Z22" s="385"/>
      <c r="AA22" s="385">
        <f>SUM(AA15:AA21)</f>
        <v>391629.57680181111</v>
      </c>
      <c r="AB22" s="385"/>
      <c r="AC22" s="385">
        <f>SUM(AC15:AC21)</f>
        <v>405336.61198987451</v>
      </c>
      <c r="AD22" s="385"/>
      <c r="AE22" s="385">
        <f>SUM(AE15:AE21)</f>
        <v>419523.39340952004</v>
      </c>
      <c r="AF22" s="385"/>
      <c r="AG22" s="385">
        <f>SUM(AG15:AG21)</f>
        <v>434206.71217885322</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68200</v>
      </c>
      <c r="F27" s="384"/>
      <c r="G27" s="384">
        <f>E27*$C$27</f>
        <v>70587</v>
      </c>
      <c r="H27" s="384"/>
      <c r="I27" s="384">
        <f>G27*$C$27</f>
        <v>73057.544999999998</v>
      </c>
      <c r="J27" s="384"/>
      <c r="K27" s="384">
        <f>I27*$C$27</f>
        <v>75614.559074999997</v>
      </c>
      <c r="L27" s="384"/>
      <c r="M27" s="384">
        <f>K27*$C$27</f>
        <v>78261.068642624989</v>
      </c>
      <c r="N27" s="384"/>
      <c r="O27" s="384">
        <f>M27*$C$27</f>
        <v>81000.206045116851</v>
      </c>
      <c r="P27" s="384"/>
      <c r="Q27" s="384">
        <f>O27*$C$27</f>
        <v>83835.213256695934</v>
      </c>
      <c r="R27" s="384"/>
      <c r="S27" s="384">
        <f>Q27*$C$27</f>
        <v>86769.445720680291</v>
      </c>
      <c r="T27" s="384"/>
      <c r="U27" s="384">
        <f>S27*$C$27</f>
        <v>89806.376320904092</v>
      </c>
      <c r="V27" s="384"/>
      <c r="W27" s="384">
        <f>U27*$C$27</f>
        <v>92949.599492135734</v>
      </c>
      <c r="X27" s="384"/>
      <c r="Y27" s="384">
        <f>W27*$C$27</f>
        <v>96202.835474360472</v>
      </c>
      <c r="Z27" s="384"/>
      <c r="AA27" s="384">
        <f>Y27*$C$27</f>
        <v>99569.934715963085</v>
      </c>
      <c r="AB27" s="384"/>
      <c r="AC27" s="384">
        <f>AA27*$C$27</f>
        <v>103054.88243102179</v>
      </c>
      <c r="AD27" s="384"/>
      <c r="AE27" s="384">
        <f>AC27*$C$27</f>
        <v>106661.80331610754</v>
      </c>
      <c r="AF27" s="384"/>
      <c r="AG27" s="384">
        <f>AE27*$C$27</f>
        <v>110394.96643217131</v>
      </c>
    </row>
    <row r="28" spans="1:34" ht="14.25">
      <c r="A28" s="596" t="s">
        <v>1082</v>
      </c>
      <c r="B28" s="373"/>
      <c r="C28" s="404"/>
      <c r="D28" s="373"/>
      <c r="E28" s="384">
        <f>Application!AC876</f>
        <v>23000</v>
      </c>
      <c r="F28" s="384"/>
      <c r="G28" s="384">
        <f>$E$28</f>
        <v>23000</v>
      </c>
      <c r="H28" s="384"/>
      <c r="I28" s="384">
        <f>$E$28</f>
        <v>23000</v>
      </c>
      <c r="J28" s="384"/>
      <c r="K28" s="384">
        <f>$E$28</f>
        <v>23000</v>
      </c>
      <c r="L28" s="384"/>
      <c r="M28" s="384">
        <f>$E$28</f>
        <v>23000</v>
      </c>
      <c r="N28" s="384"/>
      <c r="O28" s="384">
        <f>$E$28</f>
        <v>23000</v>
      </c>
      <c r="P28" s="384"/>
      <c r="Q28" s="384">
        <f>$E$28</f>
        <v>23000</v>
      </c>
      <c r="R28" s="384"/>
      <c r="S28" s="384">
        <f>$E$28</f>
        <v>23000</v>
      </c>
      <c r="T28" s="384"/>
      <c r="U28" s="384">
        <f>$E$28</f>
        <v>23000</v>
      </c>
      <c r="V28" s="384"/>
      <c r="W28" s="384">
        <f>$E$28</f>
        <v>23000</v>
      </c>
      <c r="X28" s="384"/>
      <c r="Y28" s="384">
        <f>$E$28</f>
        <v>23000</v>
      </c>
      <c r="Z28" s="384"/>
      <c r="AA28" s="384">
        <f>$E$28</f>
        <v>23000</v>
      </c>
      <c r="AB28" s="384"/>
      <c r="AC28" s="384">
        <f>$E$28</f>
        <v>23000</v>
      </c>
      <c r="AD28" s="384"/>
      <c r="AE28" s="384">
        <f>$E$28</f>
        <v>23000</v>
      </c>
      <c r="AF28" s="384"/>
      <c r="AG28" s="384">
        <f>$E$28</f>
        <v>23000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359445</v>
      </c>
      <c r="F35" s="385"/>
      <c r="G35" s="385">
        <f>SUM(G22:G33)</f>
        <v>371220.57499999995</v>
      </c>
      <c r="H35" s="385"/>
      <c r="I35" s="385">
        <f>SUM(I22:I33)</f>
        <v>383408.29512499995</v>
      </c>
      <c r="J35" s="385"/>
      <c r="K35" s="385">
        <f>SUM(K22:K33)</f>
        <v>396022.5854543749</v>
      </c>
      <c r="L35" s="385"/>
      <c r="M35" s="385">
        <f>SUM(M22:M33)</f>
        <v>409078.37594527804</v>
      </c>
      <c r="N35" s="385"/>
      <c r="O35" s="385">
        <f>SUM(O22:O33)</f>
        <v>422591.11910336278</v>
      </c>
      <c r="P35" s="385"/>
      <c r="Q35" s="385">
        <f>SUM(Q22:Q33)</f>
        <v>436576.80827198044</v>
      </c>
      <c r="R35" s="385"/>
      <c r="S35" s="385">
        <f>SUM(S22:S33)</f>
        <v>451051.99656149972</v>
      </c>
      <c r="T35" s="385"/>
      <c r="U35" s="385">
        <f>SUM(U22:U33)</f>
        <v>466033.81644115213</v>
      </c>
      <c r="V35" s="385"/>
      <c r="W35" s="385">
        <f>SUM(W22:W33)</f>
        <v>481540.0000165925</v>
      </c>
      <c r="X35" s="385"/>
      <c r="Y35" s="385">
        <f>SUM(Y22:Y33)</f>
        <v>497588.90001717315</v>
      </c>
      <c r="Z35" s="385"/>
      <c r="AA35" s="385">
        <f>SUM(AA22:AA33)</f>
        <v>514199.5115177742</v>
      </c>
      <c r="AB35" s="385"/>
      <c r="AC35" s="385">
        <f>SUM(AC22:AC33)</f>
        <v>531391.49442089628</v>
      </c>
      <c r="AD35" s="385"/>
      <c r="AE35" s="385">
        <f>SUM(AE22:AE33)</f>
        <v>549185.19672562764</v>
      </c>
      <c r="AF35" s="385"/>
      <c r="AG35" s="385">
        <f>SUM(AG22:AG33)</f>
        <v>567601.67861102452</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41925.488888888853</v>
      </c>
      <c r="F37" s="385"/>
      <c r="G37" s="385">
        <f>G11-G35</f>
        <v>40184.176111111068</v>
      </c>
      <c r="H37" s="385"/>
      <c r="I37" s="385">
        <f>I11-I35</f>
        <v>40229.074763888842</v>
      </c>
      <c r="J37" s="385"/>
      <c r="K37" s="385">
        <f>K11-K35</f>
        <v>40221.381181736011</v>
      </c>
      <c r="L37" s="385"/>
      <c r="M37" s="385">
        <f>M11-M35</f>
        <v>40157.900544235657</v>
      </c>
      <c r="N37" s="385"/>
      <c r="O37" s="385">
        <f>O11-O35</f>
        <v>40035.292359951185</v>
      </c>
      <c r="P37" s="385"/>
      <c r="Q37" s="385">
        <f>Q11-Q35</f>
        <v>39850.064521633496</v>
      </c>
      <c r="R37" s="385"/>
      <c r="S37" s="385">
        <f>S11-S35</f>
        <v>39598.567132201802</v>
      </c>
      <c r="T37" s="385"/>
      <c r="U37" s="385">
        <f>U11-U35</f>
        <v>40473.973466975847</v>
      </c>
      <c r="V37" s="385"/>
      <c r="W37" s="385">
        <f>W11-W35</f>
        <v>40120.218377216777</v>
      </c>
      <c r="X37" s="385"/>
      <c r="Y37" s="385">
        <f>Y11-Y35</f>
        <v>39689.698255288764</v>
      </c>
      <c r="Z37" s="385"/>
      <c r="AA37" s="385">
        <f>AA11-AA35</f>
        <v>40511.64924669778</v>
      </c>
      <c r="AB37" s="385"/>
      <c r="AC37" s="385">
        <f>AC11-AC35</f>
        <v>39961.192987091723</v>
      </c>
      <c r="AD37" s="385"/>
      <c r="AE37" s="385">
        <f>AE11-AE35</f>
        <v>40757.551054447656</v>
      </c>
      <c r="AF37" s="385"/>
      <c r="AG37" s="385">
        <f>AG11-AG35</f>
        <v>41568.13077791594</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
        <v>2457</v>
      </c>
      <c r="B40" s="388"/>
      <c r="C40" s="382"/>
      <c r="D40" s="373"/>
      <c r="E40" s="381">
        <v>34395</v>
      </c>
      <c r="F40" s="381"/>
      <c r="G40" s="381">
        <f>$E$40</f>
        <v>34395</v>
      </c>
      <c r="H40" s="381"/>
      <c r="I40" s="381">
        <f>$E$40</f>
        <v>34395</v>
      </c>
      <c r="J40" s="381"/>
      <c r="K40" s="381">
        <f>$E$40</f>
        <v>34395</v>
      </c>
      <c r="L40" s="381"/>
      <c r="M40" s="381">
        <f>$E$40</f>
        <v>34395</v>
      </c>
      <c r="N40" s="381"/>
      <c r="O40" s="381">
        <f>$E$40</f>
        <v>34395</v>
      </c>
      <c r="P40" s="381"/>
      <c r="Q40" s="381">
        <f>$E$40</f>
        <v>34395</v>
      </c>
      <c r="R40" s="381"/>
      <c r="S40" s="381">
        <f>$E$40</f>
        <v>34395</v>
      </c>
      <c r="T40" s="381"/>
      <c r="U40" s="381">
        <f>$E$40</f>
        <v>34395</v>
      </c>
      <c r="V40" s="381"/>
      <c r="W40" s="381">
        <f>$E$40</f>
        <v>34395</v>
      </c>
      <c r="X40" s="381"/>
      <c r="Y40" s="381">
        <f>$E$40</f>
        <v>34395</v>
      </c>
      <c r="Z40" s="381"/>
      <c r="AA40" s="381">
        <f>$E$40</f>
        <v>34395</v>
      </c>
      <c r="AB40" s="381"/>
      <c r="AC40" s="381">
        <f>$E$40</f>
        <v>34395</v>
      </c>
      <c r="AD40" s="381"/>
      <c r="AE40" s="381">
        <f>$E$40</f>
        <v>34395</v>
      </c>
      <c r="AF40" s="381"/>
      <c r="AG40" s="381">
        <f>$E$40</f>
        <v>34395</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34395</v>
      </c>
      <c r="F43" s="385"/>
      <c r="G43" s="385">
        <f>SUM(G40:G42)</f>
        <v>34395</v>
      </c>
      <c r="H43" s="385"/>
      <c r="I43" s="385">
        <f>SUM(I40:I42)</f>
        <v>34395</v>
      </c>
      <c r="J43" s="385"/>
      <c r="K43" s="385">
        <f>SUM(K40:K42)</f>
        <v>34395</v>
      </c>
      <c r="L43" s="385"/>
      <c r="M43" s="385">
        <f>SUM(M40:M42)</f>
        <v>34395</v>
      </c>
      <c r="N43" s="385"/>
      <c r="O43" s="385">
        <f>SUM(O40:O42)</f>
        <v>34395</v>
      </c>
      <c r="P43" s="385"/>
      <c r="Q43" s="385">
        <f>SUM(Q40:Q42)</f>
        <v>34395</v>
      </c>
      <c r="R43" s="385"/>
      <c r="S43" s="385">
        <f>SUM(S40:S42)</f>
        <v>34395</v>
      </c>
      <c r="T43" s="385"/>
      <c r="U43" s="385">
        <f>SUM(U40:U42)</f>
        <v>34395</v>
      </c>
      <c r="V43" s="385"/>
      <c r="W43" s="385">
        <f>SUM(W40:W42)</f>
        <v>34395</v>
      </c>
      <c r="X43" s="385"/>
      <c r="Y43" s="385">
        <f>SUM(Y40:Y42)</f>
        <v>34395</v>
      </c>
      <c r="Z43" s="385"/>
      <c r="AA43" s="385">
        <f>SUM(AA40:AA42)</f>
        <v>34395</v>
      </c>
      <c r="AB43" s="385"/>
      <c r="AC43" s="385">
        <f>SUM(AC40:AC42)</f>
        <v>34395</v>
      </c>
      <c r="AD43" s="385"/>
      <c r="AE43" s="385">
        <f>SUM(AE40:AE42)</f>
        <v>34395</v>
      </c>
      <c r="AF43" s="385"/>
      <c r="AG43" s="385">
        <f>SUM(AG40:AG42)</f>
        <v>34395</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7530.4888888888527</v>
      </c>
      <c r="F45" s="385"/>
      <c r="G45" s="385">
        <f>G37-G43</f>
        <v>5789.1761111110682</v>
      </c>
      <c r="H45" s="385"/>
      <c r="I45" s="385">
        <f>I37-I43</f>
        <v>5834.0747638888424</v>
      </c>
      <c r="J45" s="385"/>
      <c r="K45" s="385">
        <f>K37-K43</f>
        <v>5826.3811817360111</v>
      </c>
      <c r="L45" s="385"/>
      <c r="M45" s="385">
        <f>M37-M43</f>
        <v>5762.9005442356574</v>
      </c>
      <c r="N45" s="385"/>
      <c r="O45" s="385">
        <f>O37-O43</f>
        <v>5640.2923599511851</v>
      </c>
      <c r="P45" s="385"/>
      <c r="Q45" s="385">
        <f>Q37-Q43</f>
        <v>5455.064521633496</v>
      </c>
      <c r="R45" s="385"/>
      <c r="S45" s="385">
        <f>S37-S43</f>
        <v>5203.5671322018025</v>
      </c>
      <c r="T45" s="385"/>
      <c r="U45" s="385">
        <f>U37-U43</f>
        <v>6078.9734669758473</v>
      </c>
      <c r="V45" s="385"/>
      <c r="W45" s="385">
        <f>W37-W43</f>
        <v>5725.2183772167773</v>
      </c>
      <c r="X45" s="385"/>
      <c r="Y45" s="385">
        <f>Y37-Y43</f>
        <v>5294.6982552887639</v>
      </c>
      <c r="Z45" s="385"/>
      <c r="AA45" s="385">
        <f>AA37-AA43</f>
        <v>6116.6492466977797</v>
      </c>
      <c r="AB45" s="385"/>
      <c r="AC45" s="385">
        <f>AC37-AC43</f>
        <v>5566.1929870917229</v>
      </c>
      <c r="AD45" s="385"/>
      <c r="AE45" s="385">
        <f>AE37-AE43</f>
        <v>6362.5510544476565</v>
      </c>
      <c r="AF45" s="385"/>
      <c r="AG45" s="385">
        <f>AG37-AG43</f>
        <v>7173.1307779159397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3.2460123146008713E-2</v>
      </c>
      <c r="F47" s="389"/>
      <c r="G47" s="389">
        <f>G45/(G4+G6+G8)</f>
        <v>2.4345566630603197E-2</v>
      </c>
      <c r="H47" s="389"/>
      <c r="I47" s="389">
        <f>I45/(I4+I6+I8)</f>
        <v>2.3935982054269871E-2</v>
      </c>
      <c r="J47" s="389"/>
      <c r="K47" s="389">
        <f>K45/(K4+K6+K8)</f>
        <v>2.3321382345744556E-2</v>
      </c>
      <c r="L47" s="389"/>
      <c r="M47" s="389">
        <f>M45/(M4+M6+M8)</f>
        <v>2.2504670264350296E-2</v>
      </c>
      <c r="N47" s="389"/>
      <c r="O47" s="389">
        <f>O45/(O4+O6+O8)</f>
        <v>2.1488657305915974E-2</v>
      </c>
      <c r="P47" s="389"/>
      <c r="Q47" s="389">
        <f>Q45/(Q4+Q6+Q8)</f>
        <v>2.0276065729063521E-2</v>
      </c>
      <c r="R47" s="389"/>
      <c r="S47" s="389">
        <f>S45/(S4+S6+S8)</f>
        <v>1.8869530530122178E-2</v>
      </c>
      <c r="T47" s="389"/>
      <c r="U47" s="389">
        <f>U45/(U4+U6+U8)</f>
        <v>2.1506330507449399E-2</v>
      </c>
      <c r="V47" s="389"/>
      <c r="W47" s="389">
        <f>W45/(W4+W6+W8)</f>
        <v>1.9760788009749571E-2</v>
      </c>
      <c r="X47" s="389"/>
      <c r="Y47" s="389">
        <f>Y45/(Y4+Y6+Y8)</f>
        <v>1.7829105377131886E-2</v>
      </c>
      <c r="Z47" s="389"/>
      <c r="AA47" s="389">
        <f>AA45/(AA4+AA6+AA8)</f>
        <v>2.0094539069207523E-2</v>
      </c>
      <c r="AB47" s="389"/>
      <c r="AC47" s="389">
        <f>AC45/(AC4+AC6+AC8)</f>
        <v>1.7840164974869729E-2</v>
      </c>
      <c r="AD47" s="389"/>
      <c r="AE47" s="389">
        <f>AE45/(AE4+AE6+AE8)</f>
        <v>1.9895186799695326E-2</v>
      </c>
      <c r="AF47" s="389"/>
      <c r="AG47" s="389">
        <f>AG45/(AG4+AG6+AG8)</f>
        <v>2.1882736173117673E-2</v>
      </c>
      <c r="AH47" s="389"/>
      <c r="AI47" s="389"/>
    </row>
    <row r="48" spans="1:35" ht="14.25">
      <c r="A48" s="389" t="s">
        <v>1089</v>
      </c>
      <c r="B48" s="389"/>
      <c r="C48" s="382"/>
      <c r="D48" s="389"/>
      <c r="E48" s="389">
        <f>E45/E43</f>
        <v>0.21894138359903628</v>
      </c>
      <c r="F48" s="389"/>
      <c r="G48" s="389">
        <f>G45/G43</f>
        <v>0.16831446754211565</v>
      </c>
      <c r="H48" s="389"/>
      <c r="I48" s="389">
        <f>I45/I43</f>
        <v>0.16961985067273855</v>
      </c>
      <c r="J48" s="389"/>
      <c r="K48" s="389">
        <f>K45/K43</f>
        <v>0.16939616751667425</v>
      </c>
      <c r="L48" s="389"/>
      <c r="M48" s="389">
        <f>M45/M43</f>
        <v>0.16755053188648517</v>
      </c>
      <c r="N48" s="389"/>
      <c r="O48" s="389">
        <f>O45/O43</f>
        <v>0.16398582235648163</v>
      </c>
      <c r="P48" s="389"/>
      <c r="Q48" s="389">
        <f>Q45/Q43</f>
        <v>0.15860050942385509</v>
      </c>
      <c r="R48" s="389"/>
      <c r="S48" s="389">
        <f>S45/S43</f>
        <v>0.15128847600528572</v>
      </c>
      <c r="T48" s="389"/>
      <c r="U48" s="389">
        <f>U45/U43</f>
        <v>0.17674003392864798</v>
      </c>
      <c r="V48" s="389"/>
      <c r="W48" s="389">
        <f>W45/W43</f>
        <v>0.1664549608145596</v>
      </c>
      <c r="X48" s="389"/>
      <c r="Y48" s="389">
        <f>Y45/Y43</f>
        <v>0.15393802166852052</v>
      </c>
      <c r="Z48" s="389"/>
      <c r="AA48" s="389">
        <f>AA45/AA43</f>
        <v>0.1778354192963448</v>
      </c>
      <c r="AB48" s="389"/>
      <c r="AC48" s="389">
        <f>AC45/AC43</f>
        <v>0.16183145768546947</v>
      </c>
      <c r="AD48" s="389"/>
      <c r="AE48" s="389">
        <f>AE45/AE43</f>
        <v>0.18498476681051479</v>
      </c>
      <c r="AF48" s="389"/>
      <c r="AG48" s="389">
        <f>AG45/AG43</f>
        <v>0.20855155627027008</v>
      </c>
      <c r="AH48" s="389"/>
      <c r="AI48" s="389"/>
    </row>
    <row r="49" spans="1:35" ht="14.25">
      <c r="A49" s="390" t="s">
        <v>1090</v>
      </c>
      <c r="B49" s="390"/>
      <c r="C49" s="391"/>
      <c r="D49" s="390"/>
      <c r="E49" s="390">
        <f>E37/E43</f>
        <v>1.2189413835990364</v>
      </c>
      <c r="F49" s="390"/>
      <c r="G49" s="390">
        <f>G37/G43</f>
        <v>1.1683144675421158</v>
      </c>
      <c r="H49" s="390"/>
      <c r="I49" s="390">
        <f>I37/I43</f>
        <v>1.1696198506727387</v>
      </c>
      <c r="J49" s="390"/>
      <c r="K49" s="390">
        <f>K37/K43</f>
        <v>1.1693961675166742</v>
      </c>
      <c r="L49" s="390"/>
      <c r="M49" s="390">
        <f>M37/M43</f>
        <v>1.1675505318864852</v>
      </c>
      <c r="N49" s="390"/>
      <c r="O49" s="390">
        <f>O37/O43</f>
        <v>1.1639858223564816</v>
      </c>
      <c r="P49" s="390"/>
      <c r="Q49" s="390">
        <f>Q37/Q43</f>
        <v>1.1586005094238552</v>
      </c>
      <c r="R49" s="390"/>
      <c r="S49" s="390">
        <f>S37/S43</f>
        <v>1.1512884760052857</v>
      </c>
      <c r="T49" s="390"/>
      <c r="U49" s="390">
        <f>U37/U43</f>
        <v>1.176740033928648</v>
      </c>
      <c r="V49" s="390"/>
      <c r="W49" s="390">
        <f>W37/W43</f>
        <v>1.1664549608145596</v>
      </c>
      <c r="X49" s="390"/>
      <c r="Y49" s="390">
        <f>Y37/Y43</f>
        <v>1.1539380216685204</v>
      </c>
      <c r="Z49" s="390"/>
      <c r="AA49" s="390">
        <f>AA37/AA43</f>
        <v>1.1778354192963447</v>
      </c>
      <c r="AB49" s="390"/>
      <c r="AC49" s="390">
        <f>AC37/AC43</f>
        <v>1.1618314576854696</v>
      </c>
      <c r="AD49" s="390"/>
      <c r="AE49" s="390">
        <f>AE37/AE43</f>
        <v>1.1849847668105149</v>
      </c>
      <c r="AF49" s="390"/>
      <c r="AG49" s="390">
        <f>AG37/AG43</f>
        <v>1.20855155627027</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20">E54*$C$53</f>
        <v>0</v>
      </c>
      <c r="H54" s="815"/>
      <c r="I54" s="815">
        <f t="shared" si="20"/>
        <v>0</v>
      </c>
      <c r="J54" s="815"/>
      <c r="K54" s="815">
        <f t="shared" si="20"/>
        <v>0</v>
      </c>
      <c r="L54" s="815"/>
      <c r="M54" s="815">
        <f t="shared" si="20"/>
        <v>0</v>
      </c>
      <c r="N54" s="815"/>
      <c r="O54" s="815">
        <f t="shared" si="20"/>
        <v>0</v>
      </c>
      <c r="P54" s="815"/>
      <c r="Q54" s="815">
        <f t="shared" si="20"/>
        <v>0</v>
      </c>
      <c r="R54" s="815"/>
      <c r="S54" s="815">
        <f t="shared" si="20"/>
        <v>0</v>
      </c>
      <c r="T54" s="815"/>
      <c r="U54" s="815">
        <f t="shared" si="20"/>
        <v>0</v>
      </c>
      <c r="V54" s="815"/>
      <c r="W54" s="815">
        <f t="shared" si="20"/>
        <v>0</v>
      </c>
      <c r="X54" s="815"/>
      <c r="Y54" s="815">
        <f t="shared" si="20"/>
        <v>0</v>
      </c>
      <c r="Z54" s="815"/>
      <c r="AA54" s="815">
        <f t="shared" si="20"/>
        <v>0</v>
      </c>
      <c r="AB54" s="815"/>
      <c r="AC54" s="815">
        <f t="shared" si="20"/>
        <v>0</v>
      </c>
      <c r="AD54" s="815"/>
      <c r="AE54" s="815">
        <f t="shared" si="20"/>
        <v>0</v>
      </c>
      <c r="AF54" s="815"/>
      <c r="AG54" s="815">
        <f t="shared" si="20"/>
        <v>0</v>
      </c>
      <c r="AH54" s="377"/>
      <c r="AI54" s="377"/>
    </row>
    <row r="55" spans="1:35">
      <c r="A55" s="358" t="s">
        <v>1094</v>
      </c>
      <c r="B55" s="358"/>
      <c r="C55" s="406"/>
      <c r="D55" s="358"/>
      <c r="E55" s="399"/>
      <c r="F55" s="377"/>
      <c r="G55" s="815">
        <f t="shared" si="20"/>
        <v>0</v>
      </c>
      <c r="H55" s="815"/>
      <c r="I55" s="815">
        <f t="shared" si="20"/>
        <v>0</v>
      </c>
      <c r="J55" s="815"/>
      <c r="K55" s="815">
        <f t="shared" si="20"/>
        <v>0</v>
      </c>
      <c r="L55" s="815"/>
      <c r="M55" s="815">
        <f t="shared" si="20"/>
        <v>0</v>
      </c>
      <c r="N55" s="815"/>
      <c r="O55" s="815">
        <f t="shared" si="20"/>
        <v>0</v>
      </c>
      <c r="P55" s="815"/>
      <c r="Q55" s="815">
        <f t="shared" si="20"/>
        <v>0</v>
      </c>
      <c r="R55" s="815"/>
      <c r="S55" s="815">
        <f t="shared" si="20"/>
        <v>0</v>
      </c>
      <c r="T55" s="815"/>
      <c r="U55" s="815">
        <f t="shared" si="20"/>
        <v>0</v>
      </c>
      <c r="V55" s="815"/>
      <c r="W55" s="815">
        <f t="shared" si="20"/>
        <v>0</v>
      </c>
      <c r="X55" s="815"/>
      <c r="Y55" s="815">
        <f t="shared" si="20"/>
        <v>0</v>
      </c>
      <c r="Z55" s="815"/>
      <c r="AA55" s="815">
        <f t="shared" si="20"/>
        <v>0</v>
      </c>
      <c r="AB55" s="815"/>
      <c r="AC55" s="815">
        <f t="shared" si="20"/>
        <v>0</v>
      </c>
      <c r="AD55" s="815"/>
      <c r="AE55" s="815">
        <f t="shared" si="20"/>
        <v>0</v>
      </c>
      <c r="AF55" s="815"/>
      <c r="AG55" s="815">
        <f t="shared" si="20"/>
        <v>0</v>
      </c>
      <c r="AH55" s="377"/>
      <c r="AI55" s="377"/>
    </row>
    <row r="56" spans="1:35">
      <c r="A56" s="397"/>
      <c r="B56" s="397"/>
      <c r="C56" s="406"/>
      <c r="D56" s="358"/>
      <c r="E56" s="399"/>
      <c r="F56" s="377"/>
      <c r="G56" s="815">
        <f t="shared" si="20"/>
        <v>0</v>
      </c>
      <c r="H56" s="815"/>
      <c r="I56" s="815">
        <f t="shared" si="20"/>
        <v>0</v>
      </c>
      <c r="J56" s="815"/>
      <c r="K56" s="815">
        <f t="shared" si="20"/>
        <v>0</v>
      </c>
      <c r="L56" s="815"/>
      <c r="M56" s="815">
        <f t="shared" si="20"/>
        <v>0</v>
      </c>
      <c r="N56" s="815"/>
      <c r="O56" s="815">
        <f t="shared" si="20"/>
        <v>0</v>
      </c>
      <c r="P56" s="815"/>
      <c r="Q56" s="815">
        <f t="shared" si="20"/>
        <v>0</v>
      </c>
      <c r="R56" s="815"/>
      <c r="S56" s="815">
        <f t="shared" si="20"/>
        <v>0</v>
      </c>
      <c r="T56" s="815"/>
      <c r="U56" s="815">
        <f t="shared" si="20"/>
        <v>0</v>
      </c>
      <c r="V56" s="815"/>
      <c r="W56" s="815">
        <f t="shared" si="20"/>
        <v>0</v>
      </c>
      <c r="X56" s="815"/>
      <c r="Y56" s="815">
        <f t="shared" si="20"/>
        <v>0</v>
      </c>
      <c r="Z56" s="815"/>
      <c r="AA56" s="815">
        <f t="shared" si="20"/>
        <v>0</v>
      </c>
      <c r="AB56" s="815"/>
      <c r="AC56" s="815">
        <f t="shared" si="20"/>
        <v>0</v>
      </c>
      <c r="AD56" s="815"/>
      <c r="AE56" s="815">
        <f t="shared" si="20"/>
        <v>0</v>
      </c>
      <c r="AF56" s="815"/>
      <c r="AG56" s="815">
        <f t="shared" si="20"/>
        <v>0</v>
      </c>
      <c r="AH56" s="377"/>
      <c r="AI56" s="377"/>
    </row>
    <row r="57" spans="1:35">
      <c r="A57" s="397"/>
      <c r="B57" s="397"/>
      <c r="C57" s="406"/>
      <c r="D57" s="358"/>
      <c r="E57" s="403"/>
      <c r="F57" s="377"/>
      <c r="G57" s="817">
        <f t="shared" si="20"/>
        <v>0</v>
      </c>
      <c r="H57" s="815"/>
      <c r="I57" s="817">
        <f t="shared" si="20"/>
        <v>0</v>
      </c>
      <c r="J57" s="815"/>
      <c r="K57" s="817">
        <f t="shared" si="20"/>
        <v>0</v>
      </c>
      <c r="L57" s="815"/>
      <c r="M57" s="817">
        <f t="shared" si="20"/>
        <v>0</v>
      </c>
      <c r="N57" s="815"/>
      <c r="O57" s="817">
        <f t="shared" si="20"/>
        <v>0</v>
      </c>
      <c r="P57" s="815"/>
      <c r="Q57" s="817">
        <f t="shared" si="20"/>
        <v>0</v>
      </c>
      <c r="R57" s="815"/>
      <c r="S57" s="817">
        <f t="shared" si="20"/>
        <v>0</v>
      </c>
      <c r="T57" s="815"/>
      <c r="U57" s="817">
        <f t="shared" si="20"/>
        <v>0</v>
      </c>
      <c r="V57" s="815"/>
      <c r="W57" s="817">
        <f t="shared" si="20"/>
        <v>0</v>
      </c>
      <c r="X57" s="815"/>
      <c r="Y57" s="817">
        <f t="shared" si="20"/>
        <v>0</v>
      </c>
      <c r="Z57" s="815"/>
      <c r="AA57" s="817">
        <f t="shared" si="20"/>
        <v>0</v>
      </c>
      <c r="AB57" s="815"/>
      <c r="AC57" s="817">
        <f t="shared" si="20"/>
        <v>0</v>
      </c>
      <c r="AD57" s="815"/>
      <c r="AE57" s="817">
        <f t="shared" si="20"/>
        <v>0</v>
      </c>
      <c r="AF57" s="815"/>
      <c r="AG57" s="817">
        <f t="shared" si="20"/>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7530.4888888888527</v>
      </c>
      <c r="F60" s="371"/>
      <c r="G60" s="371">
        <f>G45-G58</f>
        <v>5789.1761111110682</v>
      </c>
      <c r="H60" s="371"/>
      <c r="I60" s="371">
        <f>I45-I58</f>
        <v>5834.0747638888424</v>
      </c>
      <c r="J60" s="371"/>
      <c r="K60" s="371">
        <f>K45-K58</f>
        <v>5826.3811817360111</v>
      </c>
      <c r="L60" s="371"/>
      <c r="M60" s="371">
        <f>M45-M58</f>
        <v>5762.9005442356574</v>
      </c>
      <c r="N60" s="371"/>
      <c r="O60" s="371">
        <f>O45-O58</f>
        <v>5640.2923599511851</v>
      </c>
      <c r="P60" s="371"/>
      <c r="Q60" s="371">
        <f>Q45-Q58</f>
        <v>5455.064521633496</v>
      </c>
      <c r="R60" s="371"/>
      <c r="S60" s="371">
        <f>S45-S58</f>
        <v>5203.5671322018025</v>
      </c>
      <c r="T60" s="371"/>
      <c r="U60" s="371">
        <f>U45-U58</f>
        <v>6078.9734669758473</v>
      </c>
      <c r="V60" s="371"/>
      <c r="W60" s="371">
        <f>W45-W58</f>
        <v>5725.2183772167773</v>
      </c>
      <c r="X60" s="371"/>
      <c r="Y60" s="371">
        <f>Y45-Y58</f>
        <v>5294.6982552887639</v>
      </c>
      <c r="Z60" s="371"/>
      <c r="AA60" s="371">
        <f>AA45-AA58</f>
        <v>6116.6492466977797</v>
      </c>
      <c r="AB60" s="371"/>
      <c r="AC60" s="371">
        <f>AC45-AC58</f>
        <v>5566.1929870917229</v>
      </c>
      <c r="AD60" s="371"/>
      <c r="AE60" s="371">
        <f>AE45-AE58</f>
        <v>6362.5510544476565</v>
      </c>
      <c r="AF60" s="371"/>
      <c r="AG60" s="371">
        <f>AG45-AG58</f>
        <v>7173.1307779159397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7530.4888888888527</v>
      </c>
      <c r="F72" s="377"/>
      <c r="G72" s="371">
        <f>G60-G62-G70</f>
        <v>5789.1761111110682</v>
      </c>
      <c r="H72" s="377"/>
      <c r="I72" s="371">
        <f>I60-I62-I70</f>
        <v>5834.0747638888424</v>
      </c>
      <c r="J72" s="377"/>
      <c r="K72" s="371">
        <f>K60-K62-K70</f>
        <v>5826.3811817360111</v>
      </c>
      <c r="L72" s="377"/>
      <c r="M72" s="371">
        <f>M60-M62-M70</f>
        <v>5762.9005442356574</v>
      </c>
      <c r="N72" s="377"/>
      <c r="O72" s="371">
        <f>O60-O62-O70</f>
        <v>5640.2923599511851</v>
      </c>
      <c r="P72" s="377"/>
      <c r="Q72" s="371">
        <f>Q60-Q62-Q70</f>
        <v>5455.064521633496</v>
      </c>
      <c r="R72" s="377"/>
      <c r="S72" s="371">
        <f>S60-S62-S70</f>
        <v>5203.5671322018025</v>
      </c>
      <c r="T72" s="377"/>
      <c r="U72" s="371">
        <f>U60-U62-U70</f>
        <v>6078.9734669758473</v>
      </c>
      <c r="V72" s="377"/>
      <c r="W72" s="371">
        <f>W60-W62-W70</f>
        <v>5725.2183772167773</v>
      </c>
      <c r="X72" s="377"/>
      <c r="Y72" s="371">
        <f>Y60-Y62-Y70</f>
        <v>5294.6982552887639</v>
      </c>
      <c r="Z72" s="377"/>
      <c r="AA72" s="371">
        <f>AA60-AA62-AA70</f>
        <v>6116.6492466977797</v>
      </c>
      <c r="AB72" s="377"/>
      <c r="AC72" s="371">
        <f>AC60-AC62-AC70</f>
        <v>5566.1929870917229</v>
      </c>
      <c r="AD72" s="377"/>
      <c r="AE72" s="371">
        <f>AE60-AE62-AE70</f>
        <v>6362.5510544476565</v>
      </c>
      <c r="AF72" s="377"/>
      <c r="AG72" s="371">
        <f>AG60-AG62-AG70</f>
        <v>7173.1307779159397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9" t="s">
        <v>1099</v>
      </c>
      <c r="B77" s="1989"/>
      <c r="C77" s="1989"/>
      <c r="D77" s="1989"/>
      <c r="E77" s="1989"/>
      <c r="F77" s="1989"/>
      <c r="G77" s="1989"/>
      <c r="H77" s="1989"/>
      <c r="I77" s="1989"/>
      <c r="J77" s="1989"/>
      <c r="K77" s="1989"/>
      <c r="L77" s="1989"/>
      <c r="M77" s="1989"/>
      <c r="N77" s="1989"/>
      <c r="O77" s="1989"/>
      <c r="P77" s="1989"/>
      <c r="Q77" s="1989"/>
      <c r="R77" s="1989"/>
      <c r="S77" s="1989"/>
      <c r="T77" s="1989"/>
      <c r="U77" s="1989"/>
      <c r="V77" s="1989"/>
      <c r="W77" s="1989"/>
      <c r="X77" s="1989"/>
      <c r="Y77" s="1989"/>
      <c r="Z77" s="1989"/>
      <c r="AA77" s="1989"/>
      <c r="AB77" s="1989"/>
      <c r="AC77" s="1989"/>
      <c r="AD77" s="1989"/>
      <c r="AE77" s="1989"/>
      <c r="AF77" s="1989"/>
      <c r="AG77" s="1989"/>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90" t="s">
        <v>1170</v>
      </c>
      <c r="B1" s="1990"/>
      <c r="C1" s="1990"/>
      <c r="D1" s="1990"/>
      <c r="E1" s="1990"/>
      <c r="F1" s="1990"/>
      <c r="G1" s="1990"/>
      <c r="H1" s="1990"/>
      <c r="I1" s="1990"/>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SRO/Studio</v>
      </c>
      <c r="B4" s="940">
        <f>Application!$G703</f>
        <v>10</v>
      </c>
      <c r="C4" s="599">
        <f>Application!$O703</f>
        <v>382</v>
      </c>
      <c r="D4" s="600"/>
      <c r="E4" s="938"/>
      <c r="F4" s="599">
        <f>$E4*$B4</f>
        <v>0</v>
      </c>
      <c r="G4" s="600"/>
      <c r="H4" s="599">
        <f>IF($E4=0,0,MAX($E4-$C4,0))</f>
        <v>0</v>
      </c>
      <c r="I4" s="599">
        <f>IF($H4=0,0,($H4*$B4))</f>
        <v>0</v>
      </c>
    </row>
    <row r="5" spans="1:9">
      <c r="A5" s="599" t="str">
        <f>Application!$B704</f>
        <v>SRO/Studio</v>
      </c>
      <c r="B5" s="939">
        <f>Application!$G704</f>
        <v>4</v>
      </c>
      <c r="C5" s="599">
        <f>Application!$O704</f>
        <v>382</v>
      </c>
      <c r="D5" s="600"/>
      <c r="E5" s="938"/>
      <c r="F5" s="599">
        <f t="shared" ref="F5:F38" si="0">$E5*$B5</f>
        <v>0</v>
      </c>
      <c r="G5" s="600"/>
      <c r="H5" s="599">
        <f t="shared" ref="H5:H38" si="1">IF($E5=0,0,MAX($E5-$C5,0))</f>
        <v>0</v>
      </c>
      <c r="I5" s="599">
        <f t="shared" ref="I5:I38" si="2">IF($H5=0,0,($H5*$B5))</f>
        <v>0</v>
      </c>
    </row>
    <row r="6" spans="1:9">
      <c r="A6" s="599" t="str">
        <f>Application!$B705</f>
        <v>SRO/Studio</v>
      </c>
      <c r="B6" s="939">
        <f>Application!$G705</f>
        <v>4</v>
      </c>
      <c r="C6" s="599">
        <f>Application!$O705</f>
        <v>538</v>
      </c>
      <c r="D6" s="600"/>
      <c r="E6" s="938"/>
      <c r="F6" s="599">
        <f t="shared" si="0"/>
        <v>0</v>
      </c>
      <c r="G6" s="600"/>
      <c r="H6" s="599">
        <f t="shared" si="1"/>
        <v>0</v>
      </c>
      <c r="I6" s="599">
        <f t="shared" si="2"/>
        <v>0</v>
      </c>
    </row>
    <row r="7" spans="1:9">
      <c r="A7" s="599" t="str">
        <f>Application!$B706</f>
        <v>1 Bedroom</v>
      </c>
      <c r="B7" s="939">
        <f>Application!$G706</f>
        <v>11</v>
      </c>
      <c r="C7" s="599">
        <f>Application!$O706</f>
        <v>382</v>
      </c>
      <c r="D7" s="600"/>
      <c r="E7" s="938"/>
      <c r="F7" s="599">
        <f t="shared" si="0"/>
        <v>0</v>
      </c>
      <c r="G7" s="600"/>
      <c r="H7" s="599">
        <f t="shared" si="1"/>
        <v>0</v>
      </c>
      <c r="I7" s="599">
        <f t="shared" si="2"/>
        <v>0</v>
      </c>
    </row>
    <row r="8" spans="1:9">
      <c r="A8" s="599" t="str">
        <f>Application!$B707</f>
        <v>1 Bedroom</v>
      </c>
      <c r="B8" s="939">
        <f>Application!$G707</f>
        <v>9</v>
      </c>
      <c r="C8" s="599">
        <f>Application!$O707</f>
        <v>382</v>
      </c>
      <c r="D8" s="600"/>
      <c r="E8" s="938"/>
      <c r="F8" s="599">
        <f t="shared" si="0"/>
        <v>0</v>
      </c>
      <c r="G8" s="600"/>
      <c r="H8" s="599">
        <f t="shared" si="1"/>
        <v>0</v>
      </c>
      <c r="I8" s="599">
        <f t="shared" si="2"/>
        <v>0</v>
      </c>
    </row>
    <row r="9" spans="1:9">
      <c r="A9" s="599" t="str">
        <f>Application!$B708</f>
        <v>1 Bedroom</v>
      </c>
      <c r="B9" s="939">
        <f>Application!$G708</f>
        <v>5</v>
      </c>
      <c r="C9" s="599">
        <f>Application!$O708</f>
        <v>538</v>
      </c>
      <c r="D9" s="600"/>
      <c r="E9" s="938"/>
      <c r="F9" s="599">
        <f t="shared" si="0"/>
        <v>0</v>
      </c>
      <c r="G9" s="600"/>
      <c r="H9" s="599">
        <f t="shared" si="1"/>
        <v>0</v>
      </c>
      <c r="I9" s="599">
        <f t="shared" si="2"/>
        <v>0</v>
      </c>
    </row>
    <row r="10" spans="1:9">
      <c r="A10" s="599" t="str">
        <f>Application!$B709</f>
        <v>2 Bedrooms</v>
      </c>
      <c r="B10" s="939">
        <f>Application!$G709</f>
        <v>1</v>
      </c>
      <c r="C10" s="599">
        <f>Application!$O709</f>
        <v>382</v>
      </c>
      <c r="D10" s="600"/>
      <c r="E10" s="938"/>
      <c r="F10" s="599">
        <f t="shared" si="0"/>
        <v>0</v>
      </c>
      <c r="G10" s="600"/>
      <c r="H10" s="599">
        <f t="shared" si="1"/>
        <v>0</v>
      </c>
      <c r="I10" s="599">
        <f t="shared" si="2"/>
        <v>0</v>
      </c>
    </row>
    <row r="11" spans="1:9">
      <c r="A11" s="599" t="str">
        <f>Application!$B710</f>
        <v>2 Bedrooms</v>
      </c>
      <c r="B11" s="939">
        <f>Application!$G710</f>
        <v>1</v>
      </c>
      <c r="C11" s="599">
        <f>Application!$O710</f>
        <v>538</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225000</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9"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9" t="s">
        <v>1100</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c r="AN1" s="1650"/>
    </row>
    <row r="2" spans="1:40" ht="12.95" customHeight="1" thickBot="1">
      <c r="A2" s="1651"/>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35" t="s">
        <v>1601</v>
      </c>
      <c r="U7" s="1635"/>
      <c r="V7" s="1635"/>
      <c r="W7" s="1635"/>
      <c r="X7" s="1635"/>
      <c r="Y7" s="1635" t="s">
        <v>1740</v>
      </c>
      <c r="Z7" s="1635"/>
      <c r="AA7" s="1635"/>
      <c r="AB7" s="1635"/>
      <c r="AC7" s="1635"/>
      <c r="AD7" s="1635" t="s">
        <v>1359</v>
      </c>
      <c r="AE7" s="1635"/>
      <c r="AF7" s="1635"/>
      <c r="AG7" s="1635"/>
      <c r="AH7" s="1635"/>
      <c r="AI7" s="1635" t="s">
        <v>1741</v>
      </c>
      <c r="AJ7" s="1635"/>
      <c r="AK7" s="1635"/>
      <c r="AL7" s="1635"/>
      <c r="AM7" s="1635"/>
    </row>
    <row r="8" spans="1:40" ht="12.95" customHeight="1">
      <c r="B8" s="202"/>
      <c r="T8" s="1635"/>
      <c r="U8" s="1635"/>
      <c r="V8" s="1635"/>
      <c r="W8" s="1635"/>
      <c r="X8" s="1635"/>
      <c r="Y8" s="1635"/>
      <c r="Z8" s="1635"/>
      <c r="AA8" s="1635"/>
      <c r="AB8" s="1635"/>
      <c r="AC8" s="1635"/>
      <c r="AD8" s="1635"/>
      <c r="AE8" s="1635"/>
      <c r="AF8" s="1635"/>
      <c r="AG8" s="1635"/>
      <c r="AH8" s="1635"/>
      <c r="AI8" s="1635"/>
      <c r="AJ8" s="1635"/>
      <c r="AK8" s="1635"/>
      <c r="AL8" s="1635"/>
      <c r="AM8" s="1635"/>
    </row>
    <row r="9" spans="1:40" ht="12.95" customHeight="1">
      <c r="B9" s="202"/>
      <c r="T9" s="1635"/>
      <c r="U9" s="1635"/>
      <c r="V9" s="1635"/>
      <c r="W9" s="1635"/>
      <c r="X9" s="1635"/>
      <c r="Y9" s="1635"/>
      <c r="Z9" s="1635"/>
      <c r="AA9" s="1635"/>
      <c r="AB9" s="1635"/>
      <c r="AC9" s="1635"/>
      <c r="AD9" s="1635"/>
      <c r="AE9" s="1635"/>
      <c r="AF9" s="1635"/>
      <c r="AG9" s="1635"/>
      <c r="AH9" s="1635"/>
      <c r="AI9" s="1635"/>
      <c r="AJ9" s="1635"/>
      <c r="AK9" s="1635"/>
      <c r="AL9" s="1635"/>
      <c r="AM9" s="1635"/>
    </row>
    <row r="10" spans="1:40" ht="12.95" customHeight="1">
      <c r="B10" s="53"/>
      <c r="C10" s="54"/>
      <c r="D10" s="54"/>
      <c r="E10" s="54"/>
      <c r="F10" s="54"/>
      <c r="G10" s="54"/>
      <c r="H10" s="54"/>
      <c r="I10" s="54"/>
      <c r="J10" s="54"/>
      <c r="K10" s="54"/>
      <c r="L10" s="54"/>
      <c r="M10" s="54"/>
      <c r="N10" s="54"/>
      <c r="O10" s="54"/>
      <c r="P10" s="54"/>
      <c r="Q10" s="54"/>
      <c r="R10" s="54"/>
      <c r="S10" s="54"/>
      <c r="T10" s="1635"/>
      <c r="U10" s="1635"/>
      <c r="V10" s="1635"/>
      <c r="W10" s="1635"/>
      <c r="X10" s="1635"/>
      <c r="Y10" s="1635"/>
      <c r="Z10" s="1635"/>
      <c r="AA10" s="1635"/>
      <c r="AB10" s="1635"/>
      <c r="AC10" s="1635"/>
      <c r="AD10" s="1635"/>
      <c r="AE10" s="1635"/>
      <c r="AF10" s="1635"/>
      <c r="AG10" s="1635"/>
      <c r="AH10" s="1635"/>
      <c r="AI10" s="1635"/>
      <c r="AJ10" s="1635"/>
      <c r="AK10" s="1635"/>
      <c r="AL10" s="1635"/>
      <c r="AM10" s="1635"/>
    </row>
    <row r="11" spans="1:40" ht="12.95" customHeight="1">
      <c r="B11" s="1208" t="s">
        <v>508</v>
      </c>
      <c r="C11" s="1209"/>
      <c r="D11" s="1209"/>
      <c r="E11" s="1209"/>
      <c r="F11" s="1209"/>
      <c r="G11" s="1209"/>
      <c r="H11" s="1209"/>
      <c r="I11" s="1209"/>
      <c r="J11" s="1209"/>
      <c r="K11" s="1209"/>
      <c r="L11" s="1209"/>
      <c r="M11" s="1209"/>
      <c r="N11" s="1209"/>
      <c r="O11" s="1209"/>
      <c r="P11" s="1209"/>
      <c r="Q11" s="1209"/>
      <c r="R11" s="1209"/>
      <c r="S11" s="1210"/>
      <c r="T11" s="1643">
        <f>IF('Sources and Basis Breakdown'!F105=0,'Sources and Basis Breakdown'!E105,'Sources and Basis Breakdown'!F105)</f>
        <v>22351129</v>
      </c>
      <c r="U11" s="1636"/>
      <c r="V11" s="1636"/>
      <c r="W11" s="1636"/>
      <c r="X11" s="1636"/>
      <c r="Y11" s="1652">
        <f>IF('Sources and Basis Breakdown'!G105+'Sources and Basis Breakdown'!F105='Sources and Basis Breakdown'!E105,'Sources and Basis Breakdown'!G105,0)</f>
        <v>0</v>
      </c>
      <c r="Z11" s="1636"/>
      <c r="AA11" s="1636"/>
      <c r="AB11" s="1636"/>
      <c r="AC11" s="1636"/>
      <c r="AD11" s="1636">
        <f>IF('Sources and Basis Breakdown'!I105=0,'Sources and Basis Breakdown'!H105,'Sources and Basis Breakdown'!I105)</f>
        <v>0</v>
      </c>
      <c r="AE11" s="1636"/>
      <c r="AF11" s="1636"/>
      <c r="AG11" s="1636"/>
      <c r="AH11" s="1636"/>
      <c r="AI11" s="1636">
        <f>IF('Sources and Basis Breakdown'!I105+'Sources and Basis Breakdown'!J105='Sources and Basis Breakdown'!H105,'Sources and Basis Breakdown'!J105,0)</f>
        <v>0</v>
      </c>
      <c r="AJ11" s="1636"/>
      <c r="AK11" s="1636"/>
      <c r="AL11" s="1636"/>
      <c r="AM11" s="1636"/>
    </row>
    <row r="12" spans="1:40" ht="12.95" customHeight="1">
      <c r="B12" s="1637" t="s">
        <v>447</v>
      </c>
      <c r="C12" s="1038"/>
      <c r="D12" s="1038"/>
      <c r="E12" s="1038"/>
      <c r="F12" s="1038"/>
      <c r="G12" s="1038"/>
      <c r="H12" s="1038"/>
      <c r="I12" s="1038"/>
      <c r="J12" s="1038"/>
      <c r="K12" s="1038"/>
      <c r="L12" s="1038"/>
      <c r="M12" s="1038"/>
      <c r="N12" s="1038"/>
      <c r="O12" s="1038"/>
      <c r="P12" s="1038"/>
      <c r="Q12" s="1038"/>
      <c r="R12" s="1038"/>
      <c r="S12" s="1638"/>
      <c r="T12" s="1646"/>
      <c r="U12" s="1647"/>
      <c r="V12" s="1647"/>
      <c r="W12" s="1647"/>
      <c r="X12" s="1648"/>
      <c r="Y12" s="1646"/>
      <c r="Z12" s="1647"/>
      <c r="AA12" s="1647"/>
      <c r="AB12" s="1647"/>
      <c r="AC12" s="1648"/>
      <c r="AD12" s="1646"/>
      <c r="AE12" s="1647"/>
      <c r="AF12" s="1647"/>
      <c r="AG12" s="1647"/>
      <c r="AH12" s="1648"/>
      <c r="AI12" s="1646"/>
      <c r="AJ12" s="1647"/>
      <c r="AK12" s="1647"/>
      <c r="AL12" s="1647"/>
      <c r="AM12" s="1648"/>
    </row>
    <row r="13" spans="1:40" ht="12.95" customHeight="1">
      <c r="B13" s="8"/>
      <c r="C13" s="1639" t="s">
        <v>1706</v>
      </c>
      <c r="D13" s="1640"/>
      <c r="E13" s="1640"/>
      <c r="F13" s="1640"/>
      <c r="G13" s="1640"/>
      <c r="H13" s="1640"/>
      <c r="I13" s="1640"/>
      <c r="J13" s="1640"/>
      <c r="K13" s="1640"/>
      <c r="L13" s="1640"/>
      <c r="M13" s="1640"/>
      <c r="N13" s="1640"/>
      <c r="O13" s="1640"/>
      <c r="P13" s="1640"/>
      <c r="Q13" s="1640"/>
      <c r="R13" s="1640"/>
      <c r="S13" s="1641"/>
      <c r="T13" s="1644">
        <f>'Basis &amp; Credits'!T13</f>
        <v>0</v>
      </c>
      <c r="U13" s="1645"/>
      <c r="V13" s="1645"/>
      <c r="W13" s="1645"/>
      <c r="X13" s="1645"/>
      <c r="Y13" s="1644">
        <f>'Basis &amp; Credits'!Y13</f>
        <v>0</v>
      </c>
      <c r="Z13" s="1645"/>
      <c r="AA13" s="1645"/>
      <c r="AB13" s="1645"/>
      <c r="AC13" s="1645"/>
      <c r="AD13" s="1645">
        <f>'Basis &amp; Credits'!AD13</f>
        <v>0</v>
      </c>
      <c r="AE13" s="1645"/>
      <c r="AF13" s="1645"/>
      <c r="AG13" s="1645"/>
      <c r="AH13" s="1645"/>
      <c r="AI13" s="1645">
        <f>'Basis &amp; Credits'!AI13</f>
        <v>0</v>
      </c>
      <c r="AJ13" s="1645"/>
      <c r="AK13" s="1645"/>
      <c r="AL13" s="1645"/>
      <c r="AM13" s="1645"/>
    </row>
    <row r="14" spans="1:40" ht="12.95" customHeight="1">
      <c r="B14" s="8"/>
      <c r="C14" s="1640" t="s">
        <v>768</v>
      </c>
      <c r="D14" s="1640"/>
      <c r="E14" s="1640"/>
      <c r="F14" s="1640"/>
      <c r="G14" s="1640"/>
      <c r="H14" s="1640"/>
      <c r="I14" s="1640"/>
      <c r="J14" s="1640"/>
      <c r="K14" s="1640"/>
      <c r="L14" s="1640"/>
      <c r="M14" s="1640"/>
      <c r="N14" s="1640"/>
      <c r="O14" s="1640"/>
      <c r="P14" s="1640"/>
      <c r="Q14" s="1640"/>
      <c r="R14" s="1640"/>
      <c r="S14" s="1641"/>
      <c r="T14" s="1230">
        <f>'Basis &amp; Credits'!T14</f>
        <v>0</v>
      </c>
      <c r="U14" s="1101"/>
      <c r="V14" s="1101"/>
      <c r="W14" s="1101"/>
      <c r="X14" s="1101"/>
      <c r="Y14" s="1230">
        <f>'Basis &amp; Credits'!Y14</f>
        <v>0</v>
      </c>
      <c r="Z14" s="1101"/>
      <c r="AA14" s="1101"/>
      <c r="AB14" s="1101"/>
      <c r="AC14" s="1101"/>
      <c r="AD14" s="1101">
        <f>'Basis &amp; Credits'!AD14</f>
        <v>0</v>
      </c>
      <c r="AE14" s="1101"/>
      <c r="AF14" s="1101"/>
      <c r="AG14" s="1101"/>
      <c r="AH14" s="1101"/>
      <c r="AI14" s="1101">
        <f>'Basis &amp; Credits'!AI14</f>
        <v>0</v>
      </c>
      <c r="AJ14" s="1101"/>
      <c r="AK14" s="1101"/>
      <c r="AL14" s="1101"/>
      <c r="AM14" s="1101"/>
    </row>
    <row r="15" spans="1:40" ht="12.95" customHeight="1">
      <c r="B15" s="8"/>
      <c r="C15" s="1640" t="s">
        <v>769</v>
      </c>
      <c r="D15" s="1640"/>
      <c r="E15" s="1640"/>
      <c r="F15" s="1640"/>
      <c r="G15" s="1640"/>
      <c r="H15" s="1640"/>
      <c r="I15" s="1640"/>
      <c r="J15" s="1640"/>
      <c r="K15" s="1640"/>
      <c r="L15" s="1640"/>
      <c r="M15" s="1640"/>
      <c r="N15" s="1640"/>
      <c r="O15" s="1640"/>
      <c r="P15" s="1640"/>
      <c r="Q15" s="1640"/>
      <c r="R15" s="1640"/>
      <c r="S15" s="1641"/>
      <c r="T15" s="1230">
        <f>'Basis &amp; Credits'!T15</f>
        <v>0</v>
      </c>
      <c r="U15" s="1101"/>
      <c r="V15" s="1101"/>
      <c r="W15" s="1101"/>
      <c r="X15" s="1101"/>
      <c r="Y15" s="1230">
        <f>'Basis &amp; Credits'!Y15</f>
        <v>0</v>
      </c>
      <c r="Z15" s="1101"/>
      <c r="AA15" s="1101"/>
      <c r="AB15" s="1101"/>
      <c r="AC15" s="1101"/>
      <c r="AD15" s="1101">
        <f>'Basis &amp; Credits'!AD15</f>
        <v>0</v>
      </c>
      <c r="AE15" s="1101"/>
      <c r="AF15" s="1101"/>
      <c r="AG15" s="1101"/>
      <c r="AH15" s="1101"/>
      <c r="AI15" s="1101">
        <f>'Basis &amp; Credits'!AI15</f>
        <v>0</v>
      </c>
      <c r="AJ15" s="1101"/>
      <c r="AK15" s="1101"/>
      <c r="AL15" s="1101"/>
      <c r="AM15" s="1101"/>
    </row>
    <row r="16" spans="1:40" ht="12.95" customHeight="1">
      <c r="B16" s="8"/>
      <c r="C16" s="1639" t="s">
        <v>1012</v>
      </c>
      <c r="D16" s="1639"/>
      <c r="E16" s="1639"/>
      <c r="F16" s="1639"/>
      <c r="G16" s="1639"/>
      <c r="H16" s="1639"/>
      <c r="I16" s="1639"/>
      <c r="J16" s="1639"/>
      <c r="K16" s="1639"/>
      <c r="L16" s="1639"/>
      <c r="M16" s="1639"/>
      <c r="N16" s="1639"/>
      <c r="O16" s="1639"/>
      <c r="P16" s="1639"/>
      <c r="Q16" s="1639"/>
      <c r="R16" s="1639"/>
      <c r="S16" s="1642"/>
      <c r="T16" s="1230">
        <f>'Basis &amp; Credits'!T16</f>
        <v>0</v>
      </c>
      <c r="U16" s="1101"/>
      <c r="V16" s="1101"/>
      <c r="W16" s="1101"/>
      <c r="X16" s="1101"/>
      <c r="Y16" s="1230">
        <f>'Basis &amp; Credits'!Y16</f>
        <v>0</v>
      </c>
      <c r="Z16" s="1101"/>
      <c r="AA16" s="1101"/>
      <c r="AB16" s="1101"/>
      <c r="AC16" s="1101"/>
      <c r="AD16" s="1101">
        <f>'Basis &amp; Credits'!AD16</f>
        <v>0</v>
      </c>
      <c r="AE16" s="1101"/>
      <c r="AF16" s="1101"/>
      <c r="AG16" s="1101"/>
      <c r="AH16" s="1101"/>
      <c r="AI16" s="1101">
        <f>'Basis &amp; Credits'!AI16</f>
        <v>0</v>
      </c>
      <c r="AJ16" s="1101"/>
      <c r="AK16" s="1101"/>
      <c r="AL16" s="1101"/>
      <c r="AM16" s="1101"/>
    </row>
    <row r="17" spans="1:39" ht="12.95" customHeight="1">
      <c r="B17" s="8"/>
      <c r="C17" s="1640" t="s">
        <v>770</v>
      </c>
      <c r="D17" s="1640"/>
      <c r="E17" s="1640"/>
      <c r="F17" s="1640"/>
      <c r="G17" s="1640"/>
      <c r="H17" s="1640"/>
      <c r="I17" s="1640"/>
      <c r="J17" s="1640"/>
      <c r="K17" s="1640"/>
      <c r="L17" s="1640"/>
      <c r="M17" s="1640"/>
      <c r="N17" s="1640"/>
      <c r="O17" s="1640"/>
      <c r="P17" s="1640"/>
      <c r="Q17" s="1640"/>
      <c r="R17" s="1640"/>
      <c r="S17" s="1641"/>
      <c r="T17" s="1230">
        <f>'Basis &amp; Credits'!T17</f>
        <v>0</v>
      </c>
      <c r="U17" s="1101"/>
      <c r="V17" s="1101"/>
      <c r="W17" s="1101"/>
      <c r="X17" s="1101"/>
      <c r="Y17" s="1230">
        <f>'Basis &amp; Credits'!Y17</f>
        <v>0</v>
      </c>
      <c r="Z17" s="1101"/>
      <c r="AA17" s="1101"/>
      <c r="AB17" s="1101"/>
      <c r="AC17" s="1101"/>
      <c r="AD17" s="1101">
        <f>'Basis &amp; Credits'!AD17</f>
        <v>0</v>
      </c>
      <c r="AE17" s="1101"/>
      <c r="AF17" s="1101"/>
      <c r="AG17" s="1101"/>
      <c r="AH17" s="1101"/>
      <c r="AI17" s="1101">
        <f>'Basis &amp; Credits'!AI17</f>
        <v>0</v>
      </c>
      <c r="AJ17" s="1101"/>
      <c r="AK17" s="1101"/>
      <c r="AL17" s="1101"/>
      <c r="AM17" s="1101"/>
    </row>
    <row r="18" spans="1:39" ht="12.95" customHeight="1">
      <c r="B18" s="590"/>
      <c r="C18" s="1639" t="s">
        <v>1363</v>
      </c>
      <c r="D18" s="1640"/>
      <c r="E18" s="1640"/>
      <c r="F18" s="1640"/>
      <c r="G18" s="1640"/>
      <c r="H18" s="1640"/>
      <c r="I18" s="1640"/>
      <c r="J18" s="1640"/>
      <c r="K18" s="1640"/>
      <c r="L18" s="1640"/>
      <c r="M18" s="1640"/>
      <c r="N18" s="1640"/>
      <c r="O18" s="1640"/>
      <c r="P18" s="1640"/>
      <c r="Q18" s="1640"/>
      <c r="R18" s="1640"/>
      <c r="S18" s="1641"/>
      <c r="T18" s="1228">
        <f>'Basis &amp; Credits'!T18</f>
        <v>0</v>
      </c>
      <c r="U18" s="1229"/>
      <c r="V18" s="1229"/>
      <c r="W18" s="1229"/>
      <c r="X18" s="1230"/>
      <c r="Y18" s="1230">
        <f>'Basis &amp; Credits'!Y18</f>
        <v>0</v>
      </c>
      <c r="Z18" s="1101"/>
      <c r="AA18" s="1101"/>
      <c r="AB18" s="1101"/>
      <c r="AC18" s="1101"/>
      <c r="AD18" s="1101">
        <f>'Basis &amp; Credits'!AD18</f>
        <v>0</v>
      </c>
      <c r="AE18" s="1101"/>
      <c r="AF18" s="1101"/>
      <c r="AG18" s="1101"/>
      <c r="AH18" s="1101"/>
      <c r="AI18" s="1101">
        <f>'Basis &amp; Credits'!AI18</f>
        <v>0</v>
      </c>
      <c r="AJ18" s="1101"/>
      <c r="AK18" s="1101"/>
      <c r="AL18" s="1101"/>
      <c r="AM18" s="1101"/>
    </row>
    <row r="19" spans="1:39" ht="12.95" customHeight="1">
      <c r="B19" s="481"/>
      <c r="C19" s="1616" t="str">
        <f>'Basis &amp; Credits'!C19:S19</f>
        <v>Subtract (specify other ineligible amounts):</v>
      </c>
      <c r="D19" s="1616"/>
      <c r="E19" s="1616"/>
      <c r="F19" s="1616"/>
      <c r="G19" s="1616"/>
      <c r="H19" s="1616"/>
      <c r="I19" s="1616"/>
      <c r="J19" s="1616"/>
      <c r="K19" s="1616"/>
      <c r="L19" s="1616"/>
      <c r="M19" s="1616"/>
      <c r="N19" s="1616"/>
      <c r="O19" s="1616"/>
      <c r="P19" s="1616"/>
      <c r="Q19" s="1616"/>
      <c r="R19" s="1616"/>
      <c r="S19" s="1617"/>
      <c r="T19" s="1230">
        <f>'Basis &amp; Credits'!T19</f>
        <v>0</v>
      </c>
      <c r="U19" s="1101"/>
      <c r="V19" s="1101"/>
      <c r="W19" s="1101"/>
      <c r="X19" s="1101"/>
      <c r="Y19" s="1230">
        <f>'Basis &amp; Credits'!Y19</f>
        <v>0</v>
      </c>
      <c r="Z19" s="1101"/>
      <c r="AA19" s="1101"/>
      <c r="AB19" s="1101"/>
      <c r="AC19" s="1101"/>
      <c r="AD19" s="1101">
        <f>'Basis &amp; Credits'!AD19</f>
        <v>0</v>
      </c>
      <c r="AE19" s="1101"/>
      <c r="AF19" s="1101"/>
      <c r="AG19" s="1101"/>
      <c r="AH19" s="1101"/>
      <c r="AI19" s="1101">
        <f>'Basis &amp; Credits'!AI19</f>
        <v>0</v>
      </c>
      <c r="AJ19" s="1101"/>
      <c r="AK19" s="1101"/>
      <c r="AL19" s="1101"/>
      <c r="AM19" s="1101"/>
    </row>
    <row r="20" spans="1:39" ht="12.95" customHeight="1">
      <c r="B20" s="1208" t="s">
        <v>771</v>
      </c>
      <c r="C20" s="1209"/>
      <c r="D20" s="1209"/>
      <c r="E20" s="1209"/>
      <c r="F20" s="1209"/>
      <c r="G20" s="1209"/>
      <c r="H20" s="1209"/>
      <c r="I20" s="1209"/>
      <c r="J20" s="1209"/>
      <c r="K20" s="1209"/>
      <c r="L20" s="1209"/>
      <c r="M20" s="1209"/>
      <c r="N20" s="1209"/>
      <c r="O20" s="1209"/>
      <c r="P20" s="1209"/>
      <c r="Q20" s="1209"/>
      <c r="R20" s="1209"/>
      <c r="S20" s="1210"/>
      <c r="T20" s="1628">
        <f>SUM(T13:X19)</f>
        <v>0</v>
      </c>
      <c r="U20" s="1122"/>
      <c r="V20" s="1122"/>
      <c r="W20" s="1122"/>
      <c r="X20" s="1122"/>
      <c r="Y20" s="1628">
        <f>SUM(Y13:AC19)</f>
        <v>0</v>
      </c>
      <c r="Z20" s="1122"/>
      <c r="AA20" s="1122"/>
      <c r="AB20" s="1122"/>
      <c r="AC20" s="1122"/>
      <c r="AD20" s="1122">
        <f>SUM(AD13:AH19)</f>
        <v>0</v>
      </c>
      <c r="AE20" s="1122"/>
      <c r="AF20" s="1122"/>
      <c r="AG20" s="1122"/>
      <c r="AH20" s="1122"/>
      <c r="AI20" s="1122">
        <f>SUM(AI13:AM19)</f>
        <v>0</v>
      </c>
      <c r="AJ20" s="1122"/>
      <c r="AK20" s="1122"/>
      <c r="AL20" s="1122"/>
      <c r="AM20" s="1122"/>
    </row>
    <row r="21" spans="1:39" ht="12.95" customHeight="1">
      <c r="B21" s="1208" t="s">
        <v>1705</v>
      </c>
      <c r="C21" s="1209"/>
      <c r="D21" s="1209"/>
      <c r="E21" s="1209"/>
      <c r="F21" s="1209"/>
      <c r="G21" s="1209"/>
      <c r="H21" s="1209"/>
      <c r="I21" s="1209"/>
      <c r="J21" s="1209"/>
      <c r="K21" s="1209"/>
      <c r="L21" s="1209"/>
      <c r="M21" s="1209"/>
      <c r="N21" s="1209"/>
      <c r="O21" s="1209"/>
      <c r="P21" s="1209"/>
      <c r="Q21" s="1209"/>
      <c r="R21" s="1209"/>
      <c r="S21" s="1210"/>
      <c r="T21" s="1230">
        <f>'Basis &amp; Credits'!E21</f>
        <v>0</v>
      </c>
      <c r="U21" s="1101"/>
      <c r="V21" s="1101"/>
      <c r="W21" s="1101"/>
      <c r="X21" s="1101"/>
      <c r="Y21" s="1230">
        <f>'Basis &amp; Credits'!J21</f>
        <v>0</v>
      </c>
      <c r="Z21" s="1101"/>
      <c r="AA21" s="1101"/>
      <c r="AB21" s="1101"/>
      <c r="AC21" s="1101"/>
      <c r="AD21" s="1101">
        <f>'Basis &amp; Credits'!O21</f>
        <v>0</v>
      </c>
      <c r="AE21" s="1101"/>
      <c r="AF21" s="1101"/>
      <c r="AG21" s="1101"/>
      <c r="AH21" s="1101"/>
      <c r="AI21" s="1101">
        <f>'Basis &amp; Credits'!T21</f>
        <v>10421235</v>
      </c>
      <c r="AJ21" s="1101"/>
      <c r="AK21" s="1101"/>
      <c r="AL21" s="1101"/>
      <c r="AM21" s="1101"/>
    </row>
    <row r="22" spans="1:39" ht="12.95" customHeight="1">
      <c r="B22" s="1208" t="s">
        <v>772</v>
      </c>
      <c r="C22" s="1209"/>
      <c r="D22" s="1209"/>
      <c r="E22" s="1209"/>
      <c r="F22" s="1209"/>
      <c r="G22" s="1209"/>
      <c r="H22" s="1209"/>
      <c r="I22" s="1209"/>
      <c r="J22" s="1209"/>
      <c r="K22" s="1209"/>
      <c r="L22" s="1209"/>
      <c r="M22" s="1209"/>
      <c r="N22" s="1209"/>
      <c r="O22" s="1209"/>
      <c r="P22" s="1209"/>
      <c r="Q22" s="1209"/>
      <c r="R22" s="1209"/>
      <c r="S22" s="1210"/>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-10421235</v>
      </c>
      <c r="AJ22" s="1630"/>
      <c r="AK22" s="1630"/>
      <c r="AL22" s="1630"/>
      <c r="AM22" s="1630"/>
    </row>
    <row r="23" spans="1:39" ht="12.95" customHeight="1">
      <c r="B23" s="1208" t="s">
        <v>773</v>
      </c>
      <c r="C23" s="1209"/>
      <c r="D23" s="1209"/>
      <c r="E23" s="1209"/>
      <c r="F23" s="1209"/>
      <c r="G23" s="1209"/>
      <c r="H23" s="1209"/>
      <c r="I23" s="1209"/>
      <c r="J23" s="1209"/>
      <c r="K23" s="1209"/>
      <c r="L23" s="1209"/>
      <c r="M23" s="1209"/>
      <c r="N23" s="1209"/>
      <c r="O23" s="1209"/>
      <c r="P23" s="1209"/>
      <c r="Q23" s="1209"/>
      <c r="R23" s="1209"/>
      <c r="S23" s="1210"/>
      <c r="T23" s="1628">
        <f>T11+T22</f>
        <v>22351129</v>
      </c>
      <c r="U23" s="1122"/>
      <c r="V23" s="1122"/>
      <c r="W23" s="1122"/>
      <c r="X23" s="1122"/>
      <c r="Y23" s="1628">
        <f>Y11+Y22</f>
        <v>0</v>
      </c>
      <c r="Z23" s="1122"/>
      <c r="AA23" s="1122"/>
      <c r="AB23" s="1122"/>
      <c r="AC23" s="1122"/>
      <c r="AD23" s="1628">
        <f>AD11+AD22</f>
        <v>0</v>
      </c>
      <c r="AE23" s="1122"/>
      <c r="AF23" s="1122"/>
      <c r="AG23" s="1122"/>
      <c r="AH23" s="1122"/>
      <c r="AI23" s="1628">
        <f>AI11+AI22</f>
        <v>-10421235</v>
      </c>
      <c r="AJ23" s="1122"/>
      <c r="AK23" s="1122"/>
      <c r="AL23" s="1122"/>
      <c r="AM23" s="1122"/>
    </row>
    <row r="24" spans="1:39" ht="12.95" customHeight="1">
      <c r="B24" s="1208" t="s">
        <v>1218</v>
      </c>
      <c r="C24" s="1209"/>
      <c r="D24" s="1209"/>
      <c r="E24" s="1209"/>
      <c r="F24" s="1209"/>
      <c r="G24" s="1209"/>
      <c r="H24" s="1209"/>
      <c r="I24" s="1209"/>
      <c r="J24" s="1209"/>
      <c r="K24" s="1209"/>
      <c r="L24" s="1209"/>
      <c r="M24" s="1209"/>
      <c r="N24" s="1209"/>
      <c r="O24" s="1209"/>
      <c r="P24" s="1209"/>
      <c r="Q24" s="1209"/>
      <c r="R24" s="1209"/>
      <c r="S24" s="1210"/>
      <c r="T24" s="1626">
        <f>Application!AD1019</f>
        <v>0</v>
      </c>
      <c r="U24" s="1627"/>
      <c r="V24" s="1627"/>
      <c r="W24" s="1627"/>
      <c r="X24" s="1627"/>
      <c r="Y24" s="1627"/>
      <c r="Z24" s="1627"/>
      <c r="AA24" s="1627"/>
      <c r="AB24" s="1627"/>
      <c r="AC24" s="1627"/>
      <c r="AD24" s="1627"/>
      <c r="AE24" s="1627"/>
      <c r="AF24" s="1627"/>
      <c r="AG24" s="1627"/>
      <c r="AH24" s="1627"/>
      <c r="AI24" s="1627"/>
      <c r="AJ24" s="1627"/>
      <c r="AK24" s="1627"/>
      <c r="AL24" s="1627"/>
      <c r="AM24" s="1628"/>
    </row>
    <row r="25" spans="1:39" ht="12.95" customHeight="1">
      <c r="B25" s="1618" t="s">
        <v>1739</v>
      </c>
      <c r="C25" s="1619"/>
      <c r="D25" s="1619"/>
      <c r="E25" s="1619"/>
      <c r="F25" s="1619"/>
      <c r="G25" s="1619"/>
      <c r="H25" s="1619"/>
      <c r="I25" s="1619"/>
      <c r="J25" s="1619"/>
      <c r="K25" s="1619"/>
      <c r="L25" s="1619"/>
      <c r="M25" s="1619"/>
      <c r="N25" s="1619"/>
      <c r="O25" s="1619"/>
      <c r="P25" s="1619"/>
      <c r="Q25" s="1619"/>
      <c r="R25" s="1619"/>
      <c r="S25" s="1620"/>
      <c r="T25" s="1632">
        <v>1</v>
      </c>
      <c r="U25" s="1633"/>
      <c r="V25" s="1633"/>
      <c r="W25" s="1633"/>
      <c r="X25" s="1634"/>
      <c r="Y25" s="1632">
        <v>1</v>
      </c>
      <c r="Z25" s="1633"/>
      <c r="AA25" s="1633"/>
      <c r="AB25" s="1633"/>
      <c r="AC25" s="1634"/>
      <c r="AD25" s="1632">
        <v>1</v>
      </c>
      <c r="AE25" s="1633"/>
      <c r="AF25" s="1633"/>
      <c r="AG25" s="1633"/>
      <c r="AH25" s="1634"/>
      <c r="AI25" s="1632">
        <v>1</v>
      </c>
      <c r="AJ25" s="1633"/>
      <c r="AK25" s="1633"/>
      <c r="AL25" s="1633"/>
      <c r="AM25" s="1634"/>
    </row>
    <row r="26" spans="1:39" ht="12.95" customHeight="1">
      <c r="B26" s="1208" t="s">
        <v>774</v>
      </c>
      <c r="C26" s="1209"/>
      <c r="D26" s="1209"/>
      <c r="E26" s="1209"/>
      <c r="F26" s="1209"/>
      <c r="G26" s="1209"/>
      <c r="H26" s="1209"/>
      <c r="I26" s="1209"/>
      <c r="J26" s="1209"/>
      <c r="K26" s="1209"/>
      <c r="L26" s="1209"/>
      <c r="M26" s="1209"/>
      <c r="N26" s="1209"/>
      <c r="O26" s="1209"/>
      <c r="P26" s="1209"/>
      <c r="Q26" s="1209"/>
      <c r="R26" s="1209"/>
      <c r="S26" s="1210"/>
      <c r="T26" s="1083">
        <f>T23*T25</f>
        <v>22351129</v>
      </c>
      <c r="U26" s="1631"/>
      <c r="V26" s="1631"/>
      <c r="W26" s="1631"/>
      <c r="X26" s="1631"/>
      <c r="Y26" s="1083">
        <f>Y23*Y25</f>
        <v>0</v>
      </c>
      <c r="Z26" s="1631"/>
      <c r="AA26" s="1631"/>
      <c r="AB26" s="1631"/>
      <c r="AC26" s="1631"/>
      <c r="AD26" s="1083">
        <f>AD23*AD25</f>
        <v>0</v>
      </c>
      <c r="AE26" s="1631"/>
      <c r="AF26" s="1631"/>
      <c r="AG26" s="1631"/>
      <c r="AH26" s="1631"/>
      <c r="AI26" s="1083">
        <f>AI23*AI25</f>
        <v>-10421235</v>
      </c>
      <c r="AJ26" s="1631"/>
      <c r="AK26" s="1631"/>
      <c r="AL26" s="1631"/>
      <c r="AM26" s="1631"/>
    </row>
    <row r="27" spans="1:39" ht="12.95" customHeight="1">
      <c r="A27" s="4"/>
      <c r="B27" s="1621" t="s">
        <v>879</v>
      </c>
      <c r="C27" s="1622"/>
      <c r="D27" s="1622"/>
      <c r="E27" s="1622"/>
      <c r="F27" s="1622"/>
      <c r="G27" s="1622"/>
      <c r="H27" s="1622"/>
      <c r="I27" s="1622"/>
      <c r="J27" s="1622"/>
      <c r="K27" s="1622"/>
      <c r="L27" s="1622"/>
      <c r="M27" s="1622"/>
      <c r="N27" s="1622"/>
      <c r="O27" s="1622"/>
      <c r="P27" s="1622"/>
      <c r="Q27" s="1622"/>
      <c r="R27" s="1622"/>
      <c r="S27" s="1623"/>
      <c r="T27" s="1624">
        <f>Application!AG446</f>
        <v>1</v>
      </c>
      <c r="U27" s="1625"/>
      <c r="V27" s="1625"/>
      <c r="W27" s="1625"/>
      <c r="X27" s="1625"/>
      <c r="Y27" s="1624">
        <f>Application!AG446</f>
        <v>1</v>
      </c>
      <c r="Z27" s="1625"/>
      <c r="AA27" s="1625"/>
      <c r="AB27" s="1625"/>
      <c r="AC27" s="1625"/>
      <c r="AD27" s="1624">
        <f>Application!AG446</f>
        <v>1</v>
      </c>
      <c r="AE27" s="1625"/>
      <c r="AF27" s="1625"/>
      <c r="AG27" s="1625"/>
      <c r="AH27" s="1625"/>
      <c r="AI27" s="1624">
        <f>Application!AG446</f>
        <v>1</v>
      </c>
      <c r="AJ27" s="1625"/>
      <c r="AK27" s="1625"/>
      <c r="AL27" s="1625"/>
      <c r="AM27" s="1625"/>
    </row>
    <row r="28" spans="1:39" ht="12.95" customHeight="1">
      <c r="A28" s="3"/>
      <c r="B28" s="1208" t="s">
        <v>843</v>
      </c>
      <c r="C28" s="1209"/>
      <c r="D28" s="1209"/>
      <c r="E28" s="1209"/>
      <c r="F28" s="1209"/>
      <c r="G28" s="1209"/>
      <c r="H28" s="1209"/>
      <c r="I28" s="1209"/>
      <c r="J28" s="1209"/>
      <c r="K28" s="1209"/>
      <c r="L28" s="1209"/>
      <c r="M28" s="1209"/>
      <c r="N28" s="1209"/>
      <c r="O28" s="1209"/>
      <c r="P28" s="1209"/>
      <c r="Q28" s="1209"/>
      <c r="R28" s="1209"/>
      <c r="S28" s="1210"/>
      <c r="T28" s="1083">
        <f>IF(ISERROR((T26*T27)),0,(T26*T27))</f>
        <v>22351129</v>
      </c>
      <c r="U28" s="1631"/>
      <c r="V28" s="1631"/>
      <c r="W28" s="1631"/>
      <c r="X28" s="1631"/>
      <c r="Y28" s="1083">
        <f>IF(ISERROR((Y26*Y27)),0,(Y26*Y27))</f>
        <v>0</v>
      </c>
      <c r="Z28" s="1631"/>
      <c r="AA28" s="1631"/>
      <c r="AB28" s="1631"/>
      <c r="AC28" s="1631"/>
      <c r="AD28" s="1083">
        <f>IF(ISERROR((AD26*AD27)),0,(AD26*AD27))</f>
        <v>0</v>
      </c>
      <c r="AE28" s="1631"/>
      <c r="AF28" s="1631"/>
      <c r="AG28" s="1631"/>
      <c r="AH28" s="1631"/>
      <c r="AI28" s="1083">
        <f>IF(ISERROR((AI26*AI27)),0,(AI26*AI27))</f>
        <v>-10421235</v>
      </c>
      <c r="AJ28" s="1631"/>
      <c r="AK28" s="1631"/>
      <c r="AL28" s="1631"/>
      <c r="AM28" s="1631"/>
    </row>
    <row r="29" spans="1:39" ht="12.95" customHeight="1">
      <c r="B29" s="1208" t="s">
        <v>623</v>
      </c>
      <c r="C29" s="1209"/>
      <c r="D29" s="1209"/>
      <c r="E29" s="1209"/>
      <c r="F29" s="1209"/>
      <c r="G29" s="1209"/>
      <c r="H29" s="1209"/>
      <c r="I29" s="1209"/>
      <c r="J29" s="1209"/>
      <c r="K29" s="1209"/>
      <c r="L29" s="1209"/>
      <c r="M29" s="1209"/>
      <c r="N29" s="1209"/>
      <c r="O29" s="1209"/>
      <c r="P29" s="1209"/>
      <c r="Q29" s="1209"/>
      <c r="R29" s="1209"/>
      <c r="S29" s="1210"/>
      <c r="T29" s="1626">
        <f>T28+Y28+AD28+AI28</f>
        <v>11929894</v>
      </c>
      <c r="U29" s="1627"/>
      <c r="V29" s="1627"/>
      <c r="W29" s="1627"/>
      <c r="X29" s="1627"/>
      <c r="Y29" s="1627"/>
      <c r="Z29" s="1627"/>
      <c r="AA29" s="1627"/>
      <c r="AB29" s="1627"/>
      <c r="AC29" s="1627"/>
      <c r="AD29" s="1627"/>
      <c r="AE29" s="1627"/>
      <c r="AF29" s="1627"/>
      <c r="AG29" s="1627"/>
      <c r="AH29" s="1627"/>
      <c r="AI29" s="1627"/>
      <c r="AJ29" s="1627"/>
      <c r="AK29" s="1627"/>
      <c r="AL29" s="1627"/>
      <c r="AM29" s="1628"/>
    </row>
    <row r="30" spans="1:39" ht="12.95" customHeight="1">
      <c r="B30" s="1992"/>
      <c r="C30" s="1992"/>
      <c r="D30" s="1992"/>
      <c r="E30" s="1992"/>
      <c r="F30" s="1992"/>
      <c r="G30" s="1992"/>
      <c r="H30" s="1992"/>
      <c r="I30" s="1992"/>
      <c r="J30" s="1992"/>
      <c r="K30" s="1992"/>
      <c r="L30" s="1992"/>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5" t="s">
        <v>1600</v>
      </c>
      <c r="Z35" s="1635"/>
      <c r="AA35" s="1635"/>
      <c r="AB35" s="1635"/>
      <c r="AC35" s="1635"/>
      <c r="AD35" s="1526" t="s">
        <v>41</v>
      </c>
      <c r="AE35" s="1526"/>
      <c r="AF35" s="1526"/>
      <c r="AG35" s="1526"/>
      <c r="AH35" s="1526"/>
    </row>
    <row r="36" spans="1:40" ht="12.95" customHeight="1">
      <c r="B36" s="202"/>
      <c r="X36" s="71"/>
      <c r="Y36" s="1635"/>
      <c r="Z36" s="1635"/>
      <c r="AA36" s="1635"/>
      <c r="AB36" s="1635"/>
      <c r="AC36" s="1635"/>
      <c r="AD36" s="1526"/>
      <c r="AE36" s="1526"/>
      <c r="AF36" s="1526"/>
      <c r="AG36" s="1526"/>
      <c r="AH36" s="15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5"/>
      <c r="Z37" s="1635"/>
      <c r="AA37" s="1635"/>
      <c r="AB37" s="1635"/>
      <c r="AC37" s="1635"/>
      <c r="AD37" s="1526"/>
      <c r="AE37" s="1526"/>
      <c r="AF37" s="1526"/>
      <c r="AG37" s="1526"/>
      <c r="AH37" s="1526"/>
    </row>
    <row r="38" spans="1:40" ht="12.95" customHeight="1">
      <c r="A38" s="3"/>
      <c r="B38" s="1208" t="s">
        <v>843</v>
      </c>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10"/>
      <c r="Y38" s="1122">
        <f>IF(T24&gt;=(T23+Y23+AD23+AI23),T28+Y28,0)</f>
        <v>0</v>
      </c>
      <c r="Z38" s="1122"/>
      <c r="AA38" s="1122"/>
      <c r="AB38" s="1122"/>
      <c r="AC38" s="1122"/>
      <c r="AD38" s="1122">
        <f>IF(T24&gt;=(T23+Y23+AD23+AI23),AD28+AI28,0)</f>
        <v>0</v>
      </c>
      <c r="AE38" s="1122"/>
      <c r="AF38" s="1122"/>
      <c r="AG38" s="1122"/>
      <c r="AH38" s="1122"/>
    </row>
    <row r="39" spans="1:40" ht="12.95" customHeight="1">
      <c r="B39" s="1208" t="s">
        <v>765</v>
      </c>
      <c r="C39" s="1209"/>
      <c r="D39" s="1209"/>
      <c r="E39" s="1209"/>
      <c r="F39" s="1209"/>
      <c r="G39" s="1209"/>
      <c r="H39" s="1209"/>
      <c r="I39" s="1209"/>
      <c r="J39" s="1209"/>
      <c r="K39" s="1209"/>
      <c r="L39" s="1209"/>
      <c r="M39" s="1209"/>
      <c r="N39" s="1209"/>
      <c r="O39" s="1209"/>
      <c r="P39" s="1209"/>
      <c r="Q39" s="1209"/>
      <c r="R39" s="1209"/>
      <c r="S39" s="1209"/>
      <c r="T39" s="1209"/>
      <c r="U39" s="1209"/>
      <c r="V39" s="1209"/>
      <c r="W39" s="1209"/>
      <c r="X39" s="1210"/>
      <c r="Y39" s="1991">
        <v>0.09</v>
      </c>
      <c r="Z39" s="1991"/>
      <c r="AA39" s="1991"/>
      <c r="AB39" s="1991"/>
      <c r="AC39" s="1991"/>
      <c r="AD39" s="1666">
        <v>0.04</v>
      </c>
      <c r="AE39" s="1666"/>
      <c r="AF39" s="1666"/>
      <c r="AG39" s="1666"/>
      <c r="AH39" s="1666"/>
    </row>
    <row r="40" spans="1:40" ht="12.95" customHeight="1">
      <c r="A40" s="3"/>
      <c r="B40" s="1208" t="s">
        <v>23</v>
      </c>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10"/>
      <c r="Y40" s="1122">
        <f>ROUND(Y38*Y39,0)</f>
        <v>0</v>
      </c>
      <c r="Z40" s="1122"/>
      <c r="AA40" s="1122"/>
      <c r="AB40" s="1122"/>
      <c r="AC40" s="1122"/>
      <c r="AD40" s="1628">
        <f>ROUND(AD38*AD39,0)</f>
        <v>0</v>
      </c>
      <c r="AE40" s="1122"/>
      <c r="AF40" s="1122"/>
      <c r="AG40" s="1122"/>
      <c r="AH40" s="1122"/>
    </row>
    <row r="41" spans="1:40" ht="12.95" customHeight="1">
      <c r="B41" s="1208" t="s">
        <v>617</v>
      </c>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10"/>
      <c r="Y41" s="1626">
        <f>IF((Y40+AD40)&gt;2500000,2500000,Y40+AD40)</f>
        <v>0</v>
      </c>
      <c r="Z41" s="1627"/>
      <c r="AA41" s="1627"/>
      <c r="AB41" s="1627"/>
      <c r="AC41" s="1627"/>
      <c r="AD41" s="1627"/>
      <c r="AE41" s="1627"/>
      <c r="AF41" s="1627"/>
      <c r="AG41" s="1627"/>
      <c r="AH41" s="1628"/>
    </row>
    <row r="42" spans="1:40" ht="12.95" customHeight="1">
      <c r="A42" s="3"/>
      <c r="B42" s="1660" t="s">
        <v>1162</v>
      </c>
      <c r="C42" s="1660"/>
      <c r="D42" s="1660"/>
      <c r="E42" s="1660"/>
      <c r="F42" s="1660"/>
      <c r="G42" s="1660"/>
      <c r="H42" s="1660"/>
      <c r="I42" s="1660"/>
      <c r="J42" s="1660"/>
      <c r="K42" s="1660"/>
      <c r="L42" s="1660"/>
      <c r="M42" s="1660"/>
      <c r="N42" s="1660"/>
      <c r="O42" s="1660"/>
      <c r="P42" s="1660"/>
      <c r="Q42" s="1660"/>
      <c r="R42" s="1660"/>
      <c r="S42" s="1660"/>
      <c r="T42" s="1660"/>
      <c r="U42" s="1660"/>
      <c r="V42" s="1660"/>
      <c r="W42" s="1660"/>
      <c r="X42" s="1660"/>
      <c r="Y42" s="1660"/>
      <c r="Z42" s="1660"/>
      <c r="AA42" s="1660"/>
      <c r="AB42" s="1660"/>
      <c r="AC42" s="1660"/>
      <c r="AD42" s="1660"/>
      <c r="AE42" s="1660"/>
      <c r="AF42" s="1660"/>
      <c r="AG42" s="1660"/>
      <c r="AH42" s="1660"/>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19">
        <f>'Sources and Uses Budget'!B104-'Sources and Uses Budget'!$B$15</f>
        <v>28015770</v>
      </c>
      <c r="AC46" s="1220"/>
      <c r="AD46" s="1220"/>
      <c r="AE46" s="1220"/>
      <c r="AF46" s="1221"/>
    </row>
    <row r="47" spans="1:40" ht="12.95" customHeight="1">
      <c r="D47" s="3" t="s">
        <v>837</v>
      </c>
      <c r="AB47" s="1219">
        <f>Application!AG641-MIN('Sources and Uses Budget'!B15,Application!AG393)</f>
        <v>0</v>
      </c>
      <c r="AC47" s="1220"/>
      <c r="AD47" s="1220"/>
      <c r="AE47" s="1220"/>
      <c r="AF47" s="1221"/>
    </row>
    <row r="48" spans="1:40" ht="12.95" customHeight="1">
      <c r="D48" s="3" t="s">
        <v>378</v>
      </c>
      <c r="AB48" s="1219">
        <f>AB46-AB47</f>
        <v>28015770</v>
      </c>
      <c r="AC48" s="1220"/>
      <c r="AD48" s="1220"/>
      <c r="AE48" s="1220"/>
      <c r="AF48" s="1221"/>
    </row>
    <row r="49" spans="1:40" ht="12.95" customHeight="1">
      <c r="D49" s="3" t="s">
        <v>872</v>
      </c>
      <c r="AA49" s="34"/>
      <c r="AB49" s="1655"/>
      <c r="AC49" s="1656"/>
      <c r="AD49" s="1656"/>
      <c r="AE49" s="1656"/>
      <c r="AF49" s="1657"/>
    </row>
    <row r="50" spans="1:40" s="321" customFormat="1" ht="12.95" customHeight="1">
      <c r="A50"/>
      <c r="B50"/>
      <c r="C50"/>
      <c r="D50"/>
      <c r="E50" s="1661" t="s">
        <v>1352</v>
      </c>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351"/>
      <c r="AB50" s="351"/>
      <c r="AC50" s="351"/>
      <c r="AD50" s="351"/>
      <c r="AE50" s="351"/>
      <c r="AF50" s="351"/>
      <c r="AG50"/>
      <c r="AH50"/>
      <c r="AI50"/>
      <c r="AJ50"/>
      <c r="AK50"/>
      <c r="AL50"/>
      <c r="AM50"/>
      <c r="AN50"/>
    </row>
    <row r="51" spans="1:40" s="321" customFormat="1" ht="12.95" customHeight="1">
      <c r="A51"/>
      <c r="B51"/>
      <c r="C51"/>
      <c r="D51"/>
      <c r="E51" s="1661"/>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9">
        <f>ROUND(IF(ISERROR((AB48/AB49)),0,(AB48/AB49)),0)</f>
        <v>0</v>
      </c>
      <c r="AC53" s="1220"/>
      <c r="AD53" s="1220"/>
      <c r="AE53" s="1220"/>
      <c r="AF53" s="1221"/>
    </row>
    <row r="54" spans="1:40" ht="12.95" customHeight="1">
      <c r="D54" s="3" t="s">
        <v>561</v>
      </c>
      <c r="AB54" s="1219">
        <f>(AB53/10)</f>
        <v>0</v>
      </c>
      <c r="AC54" s="1220"/>
      <c r="AD54" s="1220"/>
      <c r="AE54" s="1220"/>
      <c r="AF54" s="1221"/>
    </row>
    <row r="55" spans="1:40" ht="12.95" customHeight="1">
      <c r="D55" s="3" t="s">
        <v>341</v>
      </c>
      <c r="AB55" s="1219">
        <f>(IF((Y41&lt;AB54),Y41,AB54))</f>
        <v>0</v>
      </c>
      <c r="AC55" s="1220"/>
      <c r="AD55" s="1220"/>
      <c r="AE55" s="1220"/>
      <c r="AF55" s="1221"/>
    </row>
    <row r="56" spans="1:40" ht="12.95" customHeight="1">
      <c r="D56" s="3" t="s">
        <v>107</v>
      </c>
      <c r="AB56" s="1219">
        <f>ROUND((10*AB55*AB49),0)</f>
        <v>0</v>
      </c>
      <c r="AC56" s="1220"/>
      <c r="AD56" s="1220"/>
      <c r="AE56" s="1220"/>
      <c r="AF56" s="1221"/>
    </row>
    <row r="57" spans="1:40" ht="12.95" customHeight="1">
      <c r="D57" s="3"/>
      <c r="AB57" s="274"/>
      <c r="AC57" s="274"/>
      <c r="AD57" s="274"/>
      <c r="AE57" s="274"/>
      <c r="AF57" s="274"/>
    </row>
    <row r="58" spans="1:40" ht="12.95" customHeight="1">
      <c r="D58" s="3" t="s">
        <v>106</v>
      </c>
      <c r="AB58" s="1114">
        <f>AB48-AB56</f>
        <v>28015770</v>
      </c>
      <c r="AC58" s="1114"/>
      <c r="AD58" s="1114"/>
      <c r="AE58" s="1114"/>
      <c r="AF58" s="111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64" t="s">
        <v>1742</v>
      </c>
      <c r="B60" s="1664"/>
      <c r="C60" s="1664"/>
      <c r="D60" s="1664"/>
      <c r="E60" s="1664"/>
      <c r="F60" s="1664"/>
      <c r="G60" s="1664"/>
      <c r="H60" s="1664"/>
      <c r="I60" s="1664"/>
      <c r="J60" s="1664"/>
      <c r="K60" s="1664"/>
      <c r="L60" s="1664"/>
      <c r="M60" s="1664"/>
      <c r="N60" s="1664"/>
      <c r="O60" s="1664"/>
      <c r="P60" s="1664"/>
      <c r="Q60" s="1664"/>
      <c r="R60" s="1664"/>
      <c r="S60" s="1664"/>
      <c r="T60" s="1664"/>
      <c r="U60" s="1664"/>
      <c r="V60" s="1664"/>
      <c r="W60" s="1664"/>
      <c r="X60" s="1664"/>
      <c r="Y60" s="1664"/>
      <c r="Z60" s="1664"/>
      <c r="AA60" s="1664"/>
      <c r="AB60" s="1664"/>
      <c r="AC60" s="1664"/>
      <c r="AD60" s="1664"/>
      <c r="AE60" s="1664"/>
      <c r="AF60" s="1664"/>
      <c r="AG60" s="1664"/>
      <c r="AH60" s="1664"/>
      <c r="AI60" s="1664"/>
      <c r="AJ60" s="1664"/>
      <c r="AK60" s="1664"/>
      <c r="AL60" s="1664"/>
      <c r="AM60" s="1664"/>
      <c r="AN60" s="1664"/>
    </row>
    <row r="61" spans="1:40" ht="12.95" customHeight="1" thickTop="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row r="62" spans="1:40" ht="12.95" customHeight="1">
      <c r="A62" s="3" t="s">
        <v>122</v>
      </c>
      <c r="C62" s="3" t="s">
        <v>509</v>
      </c>
      <c r="Y62" s="1189" t="s">
        <v>298</v>
      </c>
      <c r="Z62" s="1189"/>
      <c r="AA62" s="1189"/>
      <c r="AB62" s="1189"/>
      <c r="AC62" s="1189"/>
      <c r="AD62" s="1189" t="s">
        <v>41</v>
      </c>
      <c r="AE62" s="1189"/>
      <c r="AF62" s="1189"/>
      <c r="AG62" s="1189"/>
      <c r="AH62" s="118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122">
        <f>Y28</f>
        <v>0</v>
      </c>
      <c r="Z63" s="1658"/>
      <c r="AA63" s="1658"/>
      <c r="AB63" s="1658"/>
      <c r="AC63" s="1658"/>
      <c r="AD63" s="1122">
        <f>AI28</f>
        <v>-10421235</v>
      </c>
      <c r="AE63" s="1658"/>
      <c r="AF63" s="1658"/>
      <c r="AG63" s="1658"/>
      <c r="AH63" s="1658"/>
    </row>
    <row r="64" spans="1:40" ht="12.95" customHeight="1">
      <c r="C64" s="3"/>
      <c r="E64" s="1665" t="s">
        <v>1289</v>
      </c>
      <c r="F64" s="1665"/>
      <c r="G64" s="1665"/>
      <c r="H64" s="1665"/>
      <c r="I64" s="1665"/>
      <c r="J64" s="1665"/>
      <c r="K64" s="1665"/>
      <c r="L64" s="1665"/>
      <c r="M64" s="1665"/>
      <c r="N64" s="1665"/>
      <c r="O64" s="1665"/>
      <c r="P64" s="1665"/>
      <c r="Q64" s="1665"/>
      <c r="R64" s="1665"/>
      <c r="S64" s="1665"/>
      <c r="T64" s="1665"/>
      <c r="U64" s="1665"/>
      <c r="V64" s="1665"/>
      <c r="W64" s="1665"/>
      <c r="X64" s="1665"/>
      <c r="Y64" s="1665"/>
      <c r="Z64" s="1665"/>
      <c r="AA64" s="1665"/>
      <c r="AB64" s="1665"/>
      <c r="AC64" s="1665"/>
      <c r="AD64" s="1665"/>
      <c r="AE64" s="1665"/>
      <c r="AF64" s="1665"/>
      <c r="AG64" s="1665"/>
      <c r="AH64" s="1665"/>
    </row>
    <row r="65" spans="1:34" ht="32.25" customHeight="1">
      <c r="C65" s="3"/>
      <c r="E65" s="1665"/>
      <c r="F65" s="1665"/>
      <c r="G65" s="1665"/>
      <c r="H65" s="1665"/>
      <c r="I65" s="1665"/>
      <c r="J65" s="1665"/>
      <c r="K65" s="1665"/>
      <c r="L65" s="1665"/>
      <c r="M65" s="1665"/>
      <c r="N65" s="1665"/>
      <c r="O65" s="1665"/>
      <c r="P65" s="1665"/>
      <c r="Q65" s="1665"/>
      <c r="R65" s="1665"/>
      <c r="S65" s="1665"/>
      <c r="T65" s="1665"/>
      <c r="U65" s="1665"/>
      <c r="V65" s="1665"/>
      <c r="W65" s="1665"/>
      <c r="X65" s="1665"/>
      <c r="Y65" s="1665"/>
      <c r="Z65" s="1665"/>
      <c r="AA65" s="1665"/>
      <c r="AB65" s="1665"/>
      <c r="AC65" s="1665"/>
      <c r="AD65" s="1665"/>
      <c r="AE65" s="1665"/>
      <c r="AF65" s="1665"/>
      <c r="AG65" s="1665"/>
      <c r="AH65" s="166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54">
        <v>0.3</v>
      </c>
      <c r="Z66" s="1654"/>
      <c r="AA66" s="1654"/>
      <c r="AB66" s="1654"/>
      <c r="AC66" s="1654"/>
      <c r="AD66" s="1654">
        <v>0.13</v>
      </c>
      <c r="AE66" s="1654"/>
      <c r="AF66" s="1654"/>
      <c r="AG66" s="1654"/>
      <c r="AH66" s="1654"/>
    </row>
    <row r="67" spans="1:34" ht="12.95" customHeight="1">
      <c r="C67" s="3"/>
      <c r="D67" s="3" t="s">
        <v>941</v>
      </c>
      <c r="Y67" s="1122">
        <f>ROUND(Y63*Y66,0)</f>
        <v>0</v>
      </c>
      <c r="Z67" s="1658"/>
      <c r="AA67" s="1658"/>
      <c r="AB67" s="1658"/>
      <c r="AC67" s="1658"/>
      <c r="AD67" s="1122" t="str">
        <f>IF(OR(Application!D211="At-Risk",Application!D211="At-Risk/Located in Rural Census Tract",Application!D214="At-Risk"),ROUND(AD63*AD66,0),"$0")</f>
        <v>$0</v>
      </c>
      <c r="AE67" s="1122"/>
      <c r="AF67" s="1122"/>
      <c r="AG67" s="1122"/>
      <c r="AH67" s="112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55"/>
      <c r="AC70" s="1656"/>
      <c r="AD70" s="1656"/>
      <c r="AE70" s="1656"/>
      <c r="AF70" s="1657"/>
    </row>
    <row r="71" spans="1:34" ht="12.95" customHeight="1">
      <c r="A71" s="3"/>
      <c r="C71" s="3"/>
      <c r="D71" s="3"/>
      <c r="E71" s="1659" t="s">
        <v>1737</v>
      </c>
      <c r="F71" s="1659"/>
      <c r="G71" s="1659"/>
      <c r="H71" s="1659"/>
      <c r="I71" s="1659"/>
      <c r="J71" s="1659"/>
      <c r="K71" s="1659"/>
      <c r="L71" s="1659"/>
      <c r="M71" s="1659"/>
      <c r="N71" s="1659"/>
      <c r="O71" s="1659"/>
      <c r="P71" s="1659"/>
      <c r="Q71" s="1659"/>
      <c r="R71" s="1659"/>
      <c r="S71" s="1659"/>
      <c r="T71" s="1659"/>
      <c r="U71" s="1659"/>
      <c r="V71" s="1659"/>
      <c r="W71" s="1659"/>
      <c r="X71" s="1659"/>
      <c r="Y71" s="1659"/>
      <c r="Z71" s="1659"/>
      <c r="AA71" s="251"/>
      <c r="AB71" s="251"/>
      <c r="AC71" s="251"/>
    </row>
    <row r="72" spans="1:34" ht="12.95" customHeight="1">
      <c r="A72" s="3"/>
      <c r="C72" s="3"/>
      <c r="D72" s="3"/>
      <c r="E72" s="1659"/>
      <c r="F72" s="1659"/>
      <c r="G72" s="1659"/>
      <c r="H72" s="1659"/>
      <c r="I72" s="1659"/>
      <c r="J72" s="1659"/>
      <c r="K72" s="1659"/>
      <c r="L72" s="1659"/>
      <c r="M72" s="1659"/>
      <c r="N72" s="1659"/>
      <c r="O72" s="1659"/>
      <c r="P72" s="1659"/>
      <c r="Q72" s="1659"/>
      <c r="R72" s="1659"/>
      <c r="S72" s="1659"/>
      <c r="T72" s="1659"/>
      <c r="U72" s="1659"/>
      <c r="V72" s="1659"/>
      <c r="W72" s="1659"/>
      <c r="X72" s="1659"/>
      <c r="Y72" s="1659"/>
      <c r="Z72" s="1659"/>
      <c r="AA72" s="251"/>
      <c r="AB72" s="251"/>
      <c r="AC72" s="251"/>
    </row>
    <row r="73" spans="1:34" ht="12.95" customHeight="1">
      <c r="A73" s="3"/>
      <c r="C73" s="3"/>
      <c r="D73" s="3"/>
      <c r="E73" s="1659"/>
      <c r="F73" s="1659"/>
      <c r="G73" s="1659"/>
      <c r="H73" s="1659"/>
      <c r="I73" s="1659"/>
      <c r="J73" s="1659"/>
      <c r="K73" s="1659"/>
      <c r="L73" s="1659"/>
      <c r="M73" s="1659"/>
      <c r="N73" s="1659"/>
      <c r="O73" s="1659"/>
      <c r="P73" s="1659"/>
      <c r="Q73" s="1659"/>
      <c r="R73" s="1659"/>
      <c r="S73" s="1659"/>
      <c r="T73" s="1659"/>
      <c r="U73" s="1659"/>
      <c r="V73" s="1659"/>
      <c r="W73" s="1659"/>
      <c r="X73" s="1659"/>
      <c r="Y73" s="1659"/>
      <c r="Z73" s="165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40">
        <f>ROUND(IF(ISERROR((AB58/AB70)),0,(AB58/AB70)),0)</f>
        <v>0</v>
      </c>
      <c r="AC75" s="1540"/>
      <c r="AD75" s="1540"/>
      <c r="AE75" s="1540"/>
      <c r="AF75" s="1540"/>
    </row>
    <row r="76" spans="1:34" ht="12.95" customHeight="1">
      <c r="C76" s="3"/>
      <c r="D76" s="3" t="s">
        <v>105</v>
      </c>
      <c r="AB76" s="1579">
        <f>IF((Y67+AD67&lt;AB75),Y67+AD67,AB75)</f>
        <v>0</v>
      </c>
      <c r="AC76" s="1580"/>
      <c r="AD76" s="1580"/>
      <c r="AE76" s="1580"/>
      <c r="AF76" s="1581"/>
    </row>
    <row r="77" spans="1:34" ht="12.95" customHeight="1">
      <c r="C77" s="3"/>
      <c r="D77" s="3" t="s">
        <v>942</v>
      </c>
      <c r="AB77" s="1653">
        <f>AB76*AB70</f>
        <v>0</v>
      </c>
      <c r="AC77" s="1653"/>
      <c r="AD77" s="1653"/>
      <c r="AE77" s="1653"/>
      <c r="AF77" s="1653"/>
    </row>
    <row r="78" spans="1:34" ht="12.95" customHeight="1">
      <c r="C78" s="3"/>
      <c r="D78" s="3"/>
      <c r="AB78" s="595"/>
      <c r="AC78" s="595"/>
      <c r="AD78" s="595"/>
      <c r="AE78" s="595"/>
      <c r="AF78" s="595"/>
    </row>
    <row r="79" spans="1:34" ht="12.95" customHeight="1">
      <c r="D79" s="3" t="s">
        <v>106</v>
      </c>
      <c r="AB79" s="1114">
        <f>AB48-(AB56+AB77)</f>
        <v>28015770</v>
      </c>
      <c r="AC79" s="1114"/>
      <c r="AD79" s="1114"/>
      <c r="AE79" s="1114"/>
      <c r="AF79" s="1114"/>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9" t="s">
        <v>1353</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c r="AN1" s="1650"/>
    </row>
    <row r="2" spans="1:40" ht="12.95" customHeight="1" thickBot="1">
      <c r="A2" s="1651"/>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35" t="s">
        <v>1601</v>
      </c>
      <c r="U7" s="1635"/>
      <c r="V7" s="1635"/>
      <c r="W7" s="1635"/>
      <c r="X7" s="1635"/>
      <c r="Y7" s="1635" t="s">
        <v>1740</v>
      </c>
      <c r="Z7" s="1635"/>
      <c r="AA7" s="1635"/>
      <c r="AB7" s="1635"/>
      <c r="AC7" s="1635"/>
      <c r="AD7" s="1635" t="s">
        <v>1359</v>
      </c>
      <c r="AE7" s="1635"/>
      <c r="AF7" s="1635"/>
      <c r="AG7" s="1635"/>
      <c r="AH7" s="1635"/>
      <c r="AI7" s="1635" t="s">
        <v>1741</v>
      </c>
      <c r="AJ7" s="1635"/>
      <c r="AK7" s="1635"/>
      <c r="AL7" s="1635"/>
      <c r="AM7" s="1635"/>
    </row>
    <row r="8" spans="1:40" ht="12.95" customHeight="1">
      <c r="B8" s="202"/>
      <c r="T8" s="1635"/>
      <c r="U8" s="1635"/>
      <c r="V8" s="1635"/>
      <c r="W8" s="1635"/>
      <c r="X8" s="1635"/>
      <c r="Y8" s="1635"/>
      <c r="Z8" s="1635"/>
      <c r="AA8" s="1635"/>
      <c r="AB8" s="1635"/>
      <c r="AC8" s="1635"/>
      <c r="AD8" s="1635"/>
      <c r="AE8" s="1635"/>
      <c r="AF8" s="1635"/>
      <c r="AG8" s="1635"/>
      <c r="AH8" s="1635"/>
      <c r="AI8" s="1635"/>
      <c r="AJ8" s="1635"/>
      <c r="AK8" s="1635"/>
      <c r="AL8" s="1635"/>
      <c r="AM8" s="1635"/>
    </row>
    <row r="9" spans="1:40" ht="12.95" customHeight="1">
      <c r="B9" s="202"/>
      <c r="T9" s="1635"/>
      <c r="U9" s="1635"/>
      <c r="V9" s="1635"/>
      <c r="W9" s="1635"/>
      <c r="X9" s="1635"/>
      <c r="Y9" s="1635"/>
      <c r="Z9" s="1635"/>
      <c r="AA9" s="1635"/>
      <c r="AB9" s="1635"/>
      <c r="AC9" s="1635"/>
      <c r="AD9" s="1635"/>
      <c r="AE9" s="1635"/>
      <c r="AF9" s="1635"/>
      <c r="AG9" s="1635"/>
      <c r="AH9" s="1635"/>
      <c r="AI9" s="1635"/>
      <c r="AJ9" s="1635"/>
      <c r="AK9" s="1635"/>
      <c r="AL9" s="1635"/>
      <c r="AM9" s="1635"/>
    </row>
    <row r="10" spans="1:40" ht="40.5" customHeight="1">
      <c r="B10" s="53"/>
      <c r="C10" s="54"/>
      <c r="D10" s="54"/>
      <c r="E10" s="54"/>
      <c r="F10" s="54"/>
      <c r="G10" s="54"/>
      <c r="H10" s="54"/>
      <c r="I10" s="54"/>
      <c r="J10" s="54"/>
      <c r="K10" s="54"/>
      <c r="L10" s="54"/>
      <c r="M10" s="54"/>
      <c r="N10" s="54"/>
      <c r="O10" s="54"/>
      <c r="P10" s="54"/>
      <c r="Q10" s="54"/>
      <c r="R10" s="54"/>
      <c r="S10" s="54"/>
      <c r="T10" s="1635"/>
      <c r="U10" s="1635"/>
      <c r="V10" s="1635"/>
      <c r="W10" s="1635"/>
      <c r="X10" s="1635"/>
      <c r="Y10" s="1635"/>
      <c r="Z10" s="1635"/>
      <c r="AA10" s="1635"/>
      <c r="AB10" s="1635"/>
      <c r="AC10" s="1635"/>
      <c r="AD10" s="1635"/>
      <c r="AE10" s="1635"/>
      <c r="AF10" s="1635"/>
      <c r="AG10" s="1635"/>
      <c r="AH10" s="1635"/>
      <c r="AI10" s="1635"/>
      <c r="AJ10" s="1635"/>
      <c r="AK10" s="1635"/>
      <c r="AL10" s="1635"/>
      <c r="AM10" s="1635"/>
    </row>
    <row r="11" spans="1:40" ht="12.95" customHeight="1">
      <c r="B11" s="1208" t="s">
        <v>508</v>
      </c>
      <c r="C11" s="1209"/>
      <c r="D11" s="1209"/>
      <c r="E11" s="1209"/>
      <c r="F11" s="1209"/>
      <c r="G11" s="1209"/>
      <c r="H11" s="1209"/>
      <c r="I11" s="1209"/>
      <c r="J11" s="1209"/>
      <c r="K11" s="1209"/>
      <c r="L11" s="1209"/>
      <c r="M11" s="1209"/>
      <c r="N11" s="1209"/>
      <c r="O11" s="1209"/>
      <c r="P11" s="1209"/>
      <c r="Q11" s="1209"/>
      <c r="R11" s="1209"/>
      <c r="S11" s="1210"/>
      <c r="T11" s="1643">
        <f>IF('Sources and Basis Breakdown'!F105=0,'Sources and Basis Breakdown'!E105,'Sources and Basis Breakdown'!F105)</f>
        <v>22351129</v>
      </c>
      <c r="U11" s="1636"/>
      <c r="V11" s="1636"/>
      <c r="W11" s="1636"/>
      <c r="X11" s="1636"/>
      <c r="Y11" s="1652">
        <f>IF('Sources and Basis Breakdown'!G105+'Sources and Basis Breakdown'!F105='Sources and Basis Breakdown'!E105,'Sources and Basis Breakdown'!G105,0)</f>
        <v>0</v>
      </c>
      <c r="Z11" s="1636"/>
      <c r="AA11" s="1636"/>
      <c r="AB11" s="1636"/>
      <c r="AC11" s="1636"/>
      <c r="AD11" s="1636">
        <f>IF('Sources and Basis Breakdown'!I105=0,'Sources and Basis Breakdown'!H105,'Sources and Basis Breakdown'!I105)</f>
        <v>0</v>
      </c>
      <c r="AE11" s="1636"/>
      <c r="AF11" s="1636"/>
      <c r="AG11" s="1636"/>
      <c r="AH11" s="1636"/>
      <c r="AI11" s="1636">
        <f>IF('Sources and Basis Breakdown'!I105+'Sources and Basis Breakdown'!J105='Sources and Basis Breakdown'!H105,'Sources and Basis Breakdown'!J105,0)</f>
        <v>0</v>
      </c>
      <c r="AJ11" s="1636"/>
      <c r="AK11" s="1636"/>
      <c r="AL11" s="1636"/>
      <c r="AM11" s="1636"/>
    </row>
    <row r="12" spans="1:40" ht="12.95" customHeight="1">
      <c r="B12" s="1637" t="s">
        <v>447</v>
      </c>
      <c r="C12" s="1038"/>
      <c r="D12" s="1038"/>
      <c r="E12" s="1038"/>
      <c r="F12" s="1038"/>
      <c r="G12" s="1038"/>
      <c r="H12" s="1038"/>
      <c r="I12" s="1038"/>
      <c r="J12" s="1038"/>
      <c r="K12" s="1038"/>
      <c r="L12" s="1038"/>
      <c r="M12" s="1038"/>
      <c r="N12" s="1038"/>
      <c r="O12" s="1038"/>
      <c r="P12" s="1038"/>
      <c r="Q12" s="1038"/>
      <c r="R12" s="1038"/>
      <c r="S12" s="1638"/>
      <c r="T12" s="1646"/>
      <c r="U12" s="1647"/>
      <c r="V12" s="1647"/>
      <c r="W12" s="1647"/>
      <c r="X12" s="1648"/>
      <c r="Y12" s="1646"/>
      <c r="Z12" s="1647"/>
      <c r="AA12" s="1647"/>
      <c r="AB12" s="1647"/>
      <c r="AC12" s="1648"/>
      <c r="AD12" s="1646"/>
      <c r="AE12" s="1647"/>
      <c r="AF12" s="1647"/>
      <c r="AG12" s="1647"/>
      <c r="AH12" s="1648"/>
      <c r="AI12" s="1646"/>
      <c r="AJ12" s="1647"/>
      <c r="AK12" s="1647"/>
      <c r="AL12" s="1647"/>
      <c r="AM12" s="1648"/>
    </row>
    <row r="13" spans="1:40" ht="12.95" customHeight="1">
      <c r="B13" s="8"/>
      <c r="C13" s="1639" t="s">
        <v>1706</v>
      </c>
      <c r="D13" s="1640"/>
      <c r="E13" s="1640"/>
      <c r="F13" s="1640"/>
      <c r="G13" s="1640"/>
      <c r="H13" s="1640"/>
      <c r="I13" s="1640"/>
      <c r="J13" s="1640"/>
      <c r="K13" s="1640"/>
      <c r="L13" s="1640"/>
      <c r="M13" s="1640"/>
      <c r="N13" s="1640"/>
      <c r="O13" s="1640"/>
      <c r="P13" s="1640"/>
      <c r="Q13" s="1640"/>
      <c r="R13" s="1640"/>
      <c r="S13" s="1641"/>
      <c r="T13" s="1644">
        <f>'Basis &amp; Credits'!T13</f>
        <v>0</v>
      </c>
      <c r="U13" s="1645"/>
      <c r="V13" s="1645"/>
      <c r="W13" s="1645"/>
      <c r="X13" s="1645"/>
      <c r="Y13" s="1644">
        <f>'Basis &amp; Credits'!Y13</f>
        <v>0</v>
      </c>
      <c r="Z13" s="1645"/>
      <c r="AA13" s="1645"/>
      <c r="AB13" s="1645"/>
      <c r="AC13" s="1645"/>
      <c r="AD13" s="1645">
        <f>'Basis &amp; Credits'!AD13</f>
        <v>0</v>
      </c>
      <c r="AE13" s="1645"/>
      <c r="AF13" s="1645"/>
      <c r="AG13" s="1645"/>
      <c r="AH13" s="1645"/>
      <c r="AI13" s="1645">
        <f>'Basis &amp; Credits'!AI13</f>
        <v>0</v>
      </c>
      <c r="AJ13" s="1645"/>
      <c r="AK13" s="1645"/>
      <c r="AL13" s="1645"/>
      <c r="AM13" s="1645"/>
    </row>
    <row r="14" spans="1:40" ht="12.95" customHeight="1">
      <c r="B14" s="8"/>
      <c r="C14" s="1640" t="s">
        <v>768</v>
      </c>
      <c r="D14" s="1640"/>
      <c r="E14" s="1640"/>
      <c r="F14" s="1640"/>
      <c r="G14" s="1640"/>
      <c r="H14" s="1640"/>
      <c r="I14" s="1640"/>
      <c r="J14" s="1640"/>
      <c r="K14" s="1640"/>
      <c r="L14" s="1640"/>
      <c r="M14" s="1640"/>
      <c r="N14" s="1640"/>
      <c r="O14" s="1640"/>
      <c r="P14" s="1640"/>
      <c r="Q14" s="1640"/>
      <c r="R14" s="1640"/>
      <c r="S14" s="1641"/>
      <c r="T14" s="1230">
        <f>'Basis &amp; Credits'!T14</f>
        <v>0</v>
      </c>
      <c r="U14" s="1101"/>
      <c r="V14" s="1101"/>
      <c r="W14" s="1101"/>
      <c r="X14" s="1101"/>
      <c r="Y14" s="1230">
        <f>'Basis &amp; Credits'!Y14</f>
        <v>0</v>
      </c>
      <c r="Z14" s="1101"/>
      <c r="AA14" s="1101"/>
      <c r="AB14" s="1101"/>
      <c r="AC14" s="1101"/>
      <c r="AD14" s="1101">
        <f>'Basis &amp; Credits'!AD14</f>
        <v>0</v>
      </c>
      <c r="AE14" s="1101"/>
      <c r="AF14" s="1101"/>
      <c r="AG14" s="1101"/>
      <c r="AH14" s="1101"/>
      <c r="AI14" s="1101">
        <f>'Basis &amp; Credits'!AI14</f>
        <v>0</v>
      </c>
      <c r="AJ14" s="1101"/>
      <c r="AK14" s="1101"/>
      <c r="AL14" s="1101"/>
      <c r="AM14" s="1101"/>
    </row>
    <row r="15" spans="1:40" ht="12.95" customHeight="1">
      <c r="B15" s="8"/>
      <c r="C15" s="1640" t="s">
        <v>769</v>
      </c>
      <c r="D15" s="1640"/>
      <c r="E15" s="1640"/>
      <c r="F15" s="1640"/>
      <c r="G15" s="1640"/>
      <c r="H15" s="1640"/>
      <c r="I15" s="1640"/>
      <c r="J15" s="1640"/>
      <c r="K15" s="1640"/>
      <c r="L15" s="1640"/>
      <c r="M15" s="1640"/>
      <c r="N15" s="1640"/>
      <c r="O15" s="1640"/>
      <c r="P15" s="1640"/>
      <c r="Q15" s="1640"/>
      <c r="R15" s="1640"/>
      <c r="S15" s="1641"/>
      <c r="T15" s="1230">
        <f>'Basis &amp; Credits'!T15</f>
        <v>0</v>
      </c>
      <c r="U15" s="1101"/>
      <c r="V15" s="1101"/>
      <c r="W15" s="1101"/>
      <c r="X15" s="1101"/>
      <c r="Y15" s="1230">
        <f>'Basis &amp; Credits'!Y15</f>
        <v>0</v>
      </c>
      <c r="Z15" s="1101"/>
      <c r="AA15" s="1101"/>
      <c r="AB15" s="1101"/>
      <c r="AC15" s="1101"/>
      <c r="AD15" s="1101">
        <f>'Basis &amp; Credits'!AD15</f>
        <v>0</v>
      </c>
      <c r="AE15" s="1101"/>
      <c r="AF15" s="1101"/>
      <c r="AG15" s="1101"/>
      <c r="AH15" s="1101"/>
      <c r="AI15" s="1101">
        <f>'Basis &amp; Credits'!AI15</f>
        <v>0</v>
      </c>
      <c r="AJ15" s="1101"/>
      <c r="AK15" s="1101"/>
      <c r="AL15" s="1101"/>
      <c r="AM15" s="1101"/>
    </row>
    <row r="16" spans="1:40" ht="12.95" customHeight="1">
      <c r="B16" s="8"/>
      <c r="C16" s="1639" t="s">
        <v>1012</v>
      </c>
      <c r="D16" s="1639"/>
      <c r="E16" s="1639"/>
      <c r="F16" s="1639"/>
      <c r="G16" s="1639"/>
      <c r="H16" s="1639"/>
      <c r="I16" s="1639"/>
      <c r="J16" s="1639"/>
      <c r="K16" s="1639"/>
      <c r="L16" s="1639"/>
      <c r="M16" s="1639"/>
      <c r="N16" s="1639"/>
      <c r="O16" s="1639"/>
      <c r="P16" s="1639"/>
      <c r="Q16" s="1639"/>
      <c r="R16" s="1639"/>
      <c r="S16" s="1642"/>
      <c r="T16" s="1230">
        <f>'Basis &amp; Credits'!T16</f>
        <v>0</v>
      </c>
      <c r="U16" s="1101"/>
      <c r="V16" s="1101"/>
      <c r="W16" s="1101"/>
      <c r="X16" s="1101"/>
      <c r="Y16" s="1230">
        <f>'Basis &amp; Credits'!Y16</f>
        <v>0</v>
      </c>
      <c r="Z16" s="1101"/>
      <c r="AA16" s="1101"/>
      <c r="AB16" s="1101"/>
      <c r="AC16" s="1101"/>
      <c r="AD16" s="1101">
        <f>'Basis &amp; Credits'!AD16</f>
        <v>0</v>
      </c>
      <c r="AE16" s="1101"/>
      <c r="AF16" s="1101"/>
      <c r="AG16" s="1101"/>
      <c r="AH16" s="1101"/>
      <c r="AI16" s="1101">
        <f>'Basis &amp; Credits'!AI16</f>
        <v>0</v>
      </c>
      <c r="AJ16" s="1101"/>
      <c r="AK16" s="1101"/>
      <c r="AL16" s="1101"/>
      <c r="AM16" s="1101"/>
    </row>
    <row r="17" spans="1:39" ht="12.95" customHeight="1">
      <c r="B17" s="8"/>
      <c r="C17" s="1640" t="s">
        <v>770</v>
      </c>
      <c r="D17" s="1640"/>
      <c r="E17" s="1640"/>
      <c r="F17" s="1640"/>
      <c r="G17" s="1640"/>
      <c r="H17" s="1640"/>
      <c r="I17" s="1640"/>
      <c r="J17" s="1640"/>
      <c r="K17" s="1640"/>
      <c r="L17" s="1640"/>
      <c r="M17" s="1640"/>
      <c r="N17" s="1640"/>
      <c r="O17" s="1640"/>
      <c r="P17" s="1640"/>
      <c r="Q17" s="1640"/>
      <c r="R17" s="1640"/>
      <c r="S17" s="1641"/>
      <c r="T17" s="1230">
        <f>'Basis &amp; Credits'!T17</f>
        <v>0</v>
      </c>
      <c r="U17" s="1101"/>
      <c r="V17" s="1101"/>
      <c r="W17" s="1101"/>
      <c r="X17" s="1101"/>
      <c r="Y17" s="1230">
        <f>'Basis &amp; Credits'!Y17</f>
        <v>0</v>
      </c>
      <c r="Z17" s="1101"/>
      <c r="AA17" s="1101"/>
      <c r="AB17" s="1101"/>
      <c r="AC17" s="1101"/>
      <c r="AD17" s="1101">
        <f>'Basis &amp; Credits'!AD17</f>
        <v>0</v>
      </c>
      <c r="AE17" s="1101"/>
      <c r="AF17" s="1101"/>
      <c r="AG17" s="1101"/>
      <c r="AH17" s="1101"/>
      <c r="AI17" s="1101">
        <f>'Basis &amp; Credits'!AI17</f>
        <v>0</v>
      </c>
      <c r="AJ17" s="1101"/>
      <c r="AK17" s="1101"/>
      <c r="AL17" s="1101"/>
      <c r="AM17" s="1101"/>
    </row>
    <row r="18" spans="1:39" ht="12.95" customHeight="1">
      <c r="B18" s="590"/>
      <c r="C18" s="1639" t="s">
        <v>1363</v>
      </c>
      <c r="D18" s="1640"/>
      <c r="E18" s="1640"/>
      <c r="F18" s="1640"/>
      <c r="G18" s="1640"/>
      <c r="H18" s="1640"/>
      <c r="I18" s="1640"/>
      <c r="J18" s="1640"/>
      <c r="K18" s="1640"/>
      <c r="L18" s="1640"/>
      <c r="M18" s="1640"/>
      <c r="N18" s="1640"/>
      <c r="O18" s="1640"/>
      <c r="P18" s="1640"/>
      <c r="Q18" s="1640"/>
      <c r="R18" s="1640"/>
      <c r="S18" s="1641"/>
      <c r="T18" s="1228">
        <f>'Basis &amp; Credits'!T18</f>
        <v>0</v>
      </c>
      <c r="U18" s="1229"/>
      <c r="V18" s="1229"/>
      <c r="W18" s="1229"/>
      <c r="X18" s="1230"/>
      <c r="Y18" s="1230">
        <f>'Basis &amp; Credits'!Y18</f>
        <v>0</v>
      </c>
      <c r="Z18" s="1101"/>
      <c r="AA18" s="1101"/>
      <c r="AB18" s="1101"/>
      <c r="AC18" s="1101"/>
      <c r="AD18" s="1101">
        <f>'Basis &amp; Credits'!AD18</f>
        <v>0</v>
      </c>
      <c r="AE18" s="1101"/>
      <c r="AF18" s="1101"/>
      <c r="AG18" s="1101"/>
      <c r="AH18" s="1101"/>
      <c r="AI18" s="1101">
        <f>'Basis &amp; Credits'!AI18</f>
        <v>0</v>
      </c>
      <c r="AJ18" s="1101"/>
      <c r="AK18" s="1101"/>
      <c r="AL18" s="1101"/>
      <c r="AM18" s="1101"/>
    </row>
    <row r="19" spans="1:39" ht="12.95" customHeight="1">
      <c r="B19" s="481"/>
      <c r="C19" s="1616" t="str">
        <f>'Basis &amp; Credits'!C19:S19</f>
        <v>Subtract (specify other ineligible amounts):</v>
      </c>
      <c r="D19" s="1616"/>
      <c r="E19" s="1616"/>
      <c r="F19" s="1616"/>
      <c r="G19" s="1616"/>
      <c r="H19" s="1616"/>
      <c r="I19" s="1616"/>
      <c r="J19" s="1616"/>
      <c r="K19" s="1616"/>
      <c r="L19" s="1616"/>
      <c r="M19" s="1616"/>
      <c r="N19" s="1616"/>
      <c r="O19" s="1616"/>
      <c r="P19" s="1616"/>
      <c r="Q19" s="1616"/>
      <c r="R19" s="1616"/>
      <c r="S19" s="1617"/>
      <c r="T19" s="1230">
        <f>'Basis &amp; Credits'!T19</f>
        <v>0</v>
      </c>
      <c r="U19" s="1101"/>
      <c r="V19" s="1101"/>
      <c r="W19" s="1101"/>
      <c r="X19" s="1101"/>
      <c r="Y19" s="1230">
        <f>'Basis &amp; Credits'!Y19</f>
        <v>0</v>
      </c>
      <c r="Z19" s="1101"/>
      <c r="AA19" s="1101"/>
      <c r="AB19" s="1101"/>
      <c r="AC19" s="1101"/>
      <c r="AD19" s="1101">
        <f>'Basis &amp; Credits'!AD19</f>
        <v>0</v>
      </c>
      <c r="AE19" s="1101"/>
      <c r="AF19" s="1101"/>
      <c r="AG19" s="1101"/>
      <c r="AH19" s="1101"/>
      <c r="AI19" s="1101">
        <f>'Basis &amp; Credits'!AI19</f>
        <v>0</v>
      </c>
      <c r="AJ19" s="1101"/>
      <c r="AK19" s="1101"/>
      <c r="AL19" s="1101"/>
      <c r="AM19" s="1101"/>
    </row>
    <row r="20" spans="1:39" ht="12.95" customHeight="1">
      <c r="B20" s="1208" t="s">
        <v>771</v>
      </c>
      <c r="C20" s="1209"/>
      <c r="D20" s="1209"/>
      <c r="E20" s="1209"/>
      <c r="F20" s="1209"/>
      <c r="G20" s="1209"/>
      <c r="H20" s="1209"/>
      <c r="I20" s="1209"/>
      <c r="J20" s="1209"/>
      <c r="K20" s="1209"/>
      <c r="L20" s="1209"/>
      <c r="M20" s="1209"/>
      <c r="N20" s="1209"/>
      <c r="O20" s="1209"/>
      <c r="P20" s="1209"/>
      <c r="Q20" s="1209"/>
      <c r="R20" s="1209"/>
      <c r="S20" s="1210"/>
      <c r="T20" s="1628">
        <f>SUM(T13:X19)</f>
        <v>0</v>
      </c>
      <c r="U20" s="1122"/>
      <c r="V20" s="1122"/>
      <c r="W20" s="1122"/>
      <c r="X20" s="1122"/>
      <c r="Y20" s="1628">
        <f>SUM(Y13:AC19)</f>
        <v>0</v>
      </c>
      <c r="Z20" s="1122"/>
      <c r="AA20" s="1122"/>
      <c r="AB20" s="1122"/>
      <c r="AC20" s="1122"/>
      <c r="AD20" s="1122">
        <f>SUM(AD13:AH19)</f>
        <v>0</v>
      </c>
      <c r="AE20" s="1122"/>
      <c r="AF20" s="1122"/>
      <c r="AG20" s="1122"/>
      <c r="AH20" s="1122"/>
      <c r="AI20" s="1122">
        <f>SUM(AI13:AM19)</f>
        <v>0</v>
      </c>
      <c r="AJ20" s="1122"/>
      <c r="AK20" s="1122"/>
      <c r="AL20" s="1122"/>
      <c r="AM20" s="1122"/>
    </row>
    <row r="21" spans="1:39" ht="12.95" customHeight="1">
      <c r="B21" s="1208" t="s">
        <v>1705</v>
      </c>
      <c r="C21" s="1209"/>
      <c r="D21" s="1209"/>
      <c r="E21" s="1209"/>
      <c r="F21" s="1209"/>
      <c r="G21" s="1209"/>
      <c r="H21" s="1209"/>
      <c r="I21" s="1209"/>
      <c r="J21" s="1209"/>
      <c r="K21" s="1209"/>
      <c r="L21" s="1209"/>
      <c r="M21" s="1209"/>
      <c r="N21" s="1209"/>
      <c r="O21" s="1209"/>
      <c r="P21" s="1209"/>
      <c r="Q21" s="1209"/>
      <c r="R21" s="1209"/>
      <c r="S21" s="1210"/>
      <c r="T21" s="1230">
        <f>'Basis &amp; Credits'!T21</f>
        <v>10421235</v>
      </c>
      <c r="U21" s="1101"/>
      <c r="V21" s="1101"/>
      <c r="W21" s="1101"/>
      <c r="X21" s="1101"/>
      <c r="Y21" s="1230">
        <f>'Basis &amp; Credits'!Y21</f>
        <v>0</v>
      </c>
      <c r="Z21" s="1101"/>
      <c r="AA21" s="1101"/>
      <c r="AB21" s="1101"/>
      <c r="AC21" s="1101"/>
      <c r="AD21" s="1101">
        <f>'Basis &amp; Credits'!AD21</f>
        <v>0</v>
      </c>
      <c r="AE21" s="1101"/>
      <c r="AF21" s="1101"/>
      <c r="AG21" s="1101"/>
      <c r="AH21" s="1101"/>
      <c r="AI21" s="1101">
        <f>'Basis &amp; Credits'!AI21</f>
        <v>0</v>
      </c>
      <c r="AJ21" s="1101"/>
      <c r="AK21" s="1101"/>
      <c r="AL21" s="1101"/>
      <c r="AM21" s="1101"/>
    </row>
    <row r="22" spans="1:39" ht="12.95" customHeight="1">
      <c r="B22" s="1208" t="s">
        <v>772</v>
      </c>
      <c r="C22" s="1209"/>
      <c r="D22" s="1209"/>
      <c r="E22" s="1209"/>
      <c r="F22" s="1209"/>
      <c r="G22" s="1209"/>
      <c r="H22" s="1209"/>
      <c r="I22" s="1209"/>
      <c r="J22" s="1209"/>
      <c r="K22" s="1209"/>
      <c r="L22" s="1209"/>
      <c r="M22" s="1209"/>
      <c r="N22" s="1209"/>
      <c r="O22" s="1209"/>
      <c r="P22" s="1209"/>
      <c r="Q22" s="1209"/>
      <c r="R22" s="1209"/>
      <c r="S22" s="1210"/>
      <c r="T22" s="1629">
        <f>(T20+T21)*-1</f>
        <v>-10421235</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2.95" customHeight="1">
      <c r="B23" s="1208" t="s">
        <v>773</v>
      </c>
      <c r="C23" s="1209"/>
      <c r="D23" s="1209"/>
      <c r="E23" s="1209"/>
      <c r="F23" s="1209"/>
      <c r="G23" s="1209"/>
      <c r="H23" s="1209"/>
      <c r="I23" s="1209"/>
      <c r="J23" s="1209"/>
      <c r="K23" s="1209"/>
      <c r="L23" s="1209"/>
      <c r="M23" s="1209"/>
      <c r="N23" s="1209"/>
      <c r="O23" s="1209"/>
      <c r="P23" s="1209"/>
      <c r="Q23" s="1209"/>
      <c r="R23" s="1209"/>
      <c r="S23" s="1210"/>
      <c r="T23" s="1628">
        <f>T11+T22</f>
        <v>11929894</v>
      </c>
      <c r="U23" s="1122"/>
      <c r="V23" s="1122"/>
      <c r="W23" s="1122"/>
      <c r="X23" s="1122"/>
      <c r="Y23" s="1628">
        <f>Y11+Y22</f>
        <v>0</v>
      </c>
      <c r="Z23" s="1122"/>
      <c r="AA23" s="1122"/>
      <c r="AB23" s="1122"/>
      <c r="AC23" s="1122"/>
      <c r="AD23" s="1628">
        <f>AD11+AD22</f>
        <v>0</v>
      </c>
      <c r="AE23" s="1122"/>
      <c r="AF23" s="1122"/>
      <c r="AG23" s="1122"/>
      <c r="AH23" s="1122"/>
      <c r="AI23" s="1628">
        <f>AI11+AI22</f>
        <v>0</v>
      </c>
      <c r="AJ23" s="1122"/>
      <c r="AK23" s="1122"/>
      <c r="AL23" s="1122"/>
      <c r="AM23" s="1122"/>
    </row>
    <row r="24" spans="1:39" ht="12.95" customHeight="1">
      <c r="B24" s="1208" t="s">
        <v>1218</v>
      </c>
      <c r="C24" s="1209"/>
      <c r="D24" s="1209"/>
      <c r="E24" s="1209"/>
      <c r="F24" s="1209"/>
      <c r="G24" s="1209"/>
      <c r="H24" s="1209"/>
      <c r="I24" s="1209"/>
      <c r="J24" s="1209"/>
      <c r="K24" s="1209"/>
      <c r="L24" s="1209"/>
      <c r="M24" s="1209"/>
      <c r="N24" s="1209"/>
      <c r="O24" s="1209"/>
      <c r="P24" s="1209"/>
      <c r="Q24" s="1209"/>
      <c r="R24" s="1209"/>
      <c r="S24" s="1210"/>
      <c r="T24" s="1626">
        <f>Application!AD1019</f>
        <v>0</v>
      </c>
      <c r="U24" s="1627"/>
      <c r="V24" s="1627"/>
      <c r="W24" s="1627"/>
      <c r="X24" s="1627"/>
      <c r="Y24" s="1627"/>
      <c r="Z24" s="1627"/>
      <c r="AA24" s="1627"/>
      <c r="AB24" s="1627"/>
      <c r="AC24" s="1627"/>
      <c r="AD24" s="1627"/>
      <c r="AE24" s="1627"/>
      <c r="AF24" s="1627"/>
      <c r="AG24" s="1627"/>
      <c r="AH24" s="1627"/>
      <c r="AI24" s="1627"/>
      <c r="AJ24" s="1627"/>
      <c r="AK24" s="1627"/>
      <c r="AL24" s="1627"/>
      <c r="AM24" s="1628"/>
    </row>
    <row r="25" spans="1:39" ht="12.95" customHeight="1">
      <c r="B25" s="1618" t="s">
        <v>1739</v>
      </c>
      <c r="C25" s="1619"/>
      <c r="D25" s="1619"/>
      <c r="E25" s="1619"/>
      <c r="F25" s="1619"/>
      <c r="G25" s="1619"/>
      <c r="H25" s="1619"/>
      <c r="I25" s="1619"/>
      <c r="J25" s="1619"/>
      <c r="K25" s="1619"/>
      <c r="L25" s="1619"/>
      <c r="M25" s="1619"/>
      <c r="N25" s="1619"/>
      <c r="O25" s="1619"/>
      <c r="P25" s="1619"/>
      <c r="Q25" s="1619"/>
      <c r="R25" s="1619"/>
      <c r="S25" s="1620"/>
      <c r="T25" s="1632">
        <v>1</v>
      </c>
      <c r="U25" s="1633"/>
      <c r="V25" s="1633"/>
      <c r="W25" s="1633"/>
      <c r="X25" s="1633"/>
      <c r="Y25" s="1632">
        <v>1</v>
      </c>
      <c r="Z25" s="1633"/>
      <c r="AA25" s="1633"/>
      <c r="AB25" s="1633"/>
      <c r="AC25" s="1634"/>
      <c r="AD25" s="1632">
        <v>1</v>
      </c>
      <c r="AE25" s="1633"/>
      <c r="AF25" s="1633"/>
      <c r="AG25" s="1633"/>
      <c r="AH25" s="1634"/>
      <c r="AI25" s="1632">
        <v>1</v>
      </c>
      <c r="AJ25" s="1633"/>
      <c r="AK25" s="1633"/>
      <c r="AL25" s="1633"/>
      <c r="AM25" s="1634"/>
    </row>
    <row r="26" spans="1:39" ht="12.95" customHeight="1">
      <c r="B26" s="1208" t="s">
        <v>774</v>
      </c>
      <c r="C26" s="1209"/>
      <c r="D26" s="1209"/>
      <c r="E26" s="1209"/>
      <c r="F26" s="1209"/>
      <c r="G26" s="1209"/>
      <c r="H26" s="1209"/>
      <c r="I26" s="1209"/>
      <c r="J26" s="1209"/>
      <c r="K26" s="1209"/>
      <c r="L26" s="1209"/>
      <c r="M26" s="1209"/>
      <c r="N26" s="1209"/>
      <c r="O26" s="1209"/>
      <c r="P26" s="1209"/>
      <c r="Q26" s="1209"/>
      <c r="R26" s="1209"/>
      <c r="S26" s="1210"/>
      <c r="T26" s="1083">
        <f>T23*T25</f>
        <v>11929894</v>
      </c>
      <c r="U26" s="1631"/>
      <c r="V26" s="1631"/>
      <c r="W26" s="1631"/>
      <c r="X26" s="1631"/>
      <c r="Y26" s="1083">
        <f>Y23*Y25</f>
        <v>0</v>
      </c>
      <c r="Z26" s="1631"/>
      <c r="AA26" s="1631"/>
      <c r="AB26" s="1631"/>
      <c r="AC26" s="1631"/>
      <c r="AD26" s="1083">
        <f>AD23*AD25</f>
        <v>0</v>
      </c>
      <c r="AE26" s="1631"/>
      <c r="AF26" s="1631"/>
      <c r="AG26" s="1631"/>
      <c r="AH26" s="1631"/>
      <c r="AI26" s="1083">
        <f>AI23*AI25</f>
        <v>0</v>
      </c>
      <c r="AJ26" s="1631"/>
      <c r="AK26" s="1631"/>
      <c r="AL26" s="1631"/>
      <c r="AM26" s="1631"/>
    </row>
    <row r="27" spans="1:39" ht="12.95" customHeight="1">
      <c r="A27" s="4"/>
      <c r="B27" s="1621" t="s">
        <v>879</v>
      </c>
      <c r="C27" s="1622"/>
      <c r="D27" s="1622"/>
      <c r="E27" s="1622"/>
      <c r="F27" s="1622"/>
      <c r="G27" s="1622"/>
      <c r="H27" s="1622"/>
      <c r="I27" s="1622"/>
      <c r="J27" s="1622"/>
      <c r="K27" s="1622"/>
      <c r="L27" s="1622"/>
      <c r="M27" s="1622"/>
      <c r="N27" s="1622"/>
      <c r="O27" s="1622"/>
      <c r="P27" s="1622"/>
      <c r="Q27" s="1622"/>
      <c r="R27" s="1622"/>
      <c r="S27" s="1623"/>
      <c r="T27" s="1624">
        <f>Application!AG446</f>
        <v>1</v>
      </c>
      <c r="U27" s="1625"/>
      <c r="V27" s="1625"/>
      <c r="W27" s="1625"/>
      <c r="X27" s="1625"/>
      <c r="Y27" s="1624">
        <f>Application!AG446</f>
        <v>1</v>
      </c>
      <c r="Z27" s="1625"/>
      <c r="AA27" s="1625"/>
      <c r="AB27" s="1625"/>
      <c r="AC27" s="1625"/>
      <c r="AD27" s="1624">
        <f>Application!AG446</f>
        <v>1</v>
      </c>
      <c r="AE27" s="1625"/>
      <c r="AF27" s="1625"/>
      <c r="AG27" s="1625"/>
      <c r="AH27" s="1625"/>
      <c r="AI27" s="1624">
        <f>Application!AG446</f>
        <v>1</v>
      </c>
      <c r="AJ27" s="1625"/>
      <c r="AK27" s="1625"/>
      <c r="AL27" s="1625"/>
      <c r="AM27" s="1625"/>
    </row>
    <row r="28" spans="1:39" ht="12.95" customHeight="1">
      <c r="A28" s="3"/>
      <c r="B28" s="1208" t="s">
        <v>843</v>
      </c>
      <c r="C28" s="1209"/>
      <c r="D28" s="1209"/>
      <c r="E28" s="1209"/>
      <c r="F28" s="1209"/>
      <c r="G28" s="1209"/>
      <c r="H28" s="1209"/>
      <c r="I28" s="1209"/>
      <c r="J28" s="1209"/>
      <c r="K28" s="1209"/>
      <c r="L28" s="1209"/>
      <c r="M28" s="1209"/>
      <c r="N28" s="1209"/>
      <c r="O28" s="1209"/>
      <c r="P28" s="1209"/>
      <c r="Q28" s="1209"/>
      <c r="R28" s="1209"/>
      <c r="S28" s="1210"/>
      <c r="T28" s="1083">
        <f>IF(ISERROR((T26*T27)),0,(T26*T27))</f>
        <v>11929894</v>
      </c>
      <c r="U28" s="1631"/>
      <c r="V28" s="1631"/>
      <c r="W28" s="1631"/>
      <c r="X28" s="1631"/>
      <c r="Y28" s="1083">
        <f>IF(ISERROR((Y26*Y27)),0,(Y26*Y27))</f>
        <v>0</v>
      </c>
      <c r="Z28" s="1631"/>
      <c r="AA28" s="1631"/>
      <c r="AB28" s="1631"/>
      <c r="AC28" s="1631"/>
      <c r="AD28" s="1083">
        <f>IF(ISERROR((AD26*AD27)),0,(AD26*AD27))</f>
        <v>0</v>
      </c>
      <c r="AE28" s="1631"/>
      <c r="AF28" s="1631"/>
      <c r="AG28" s="1631"/>
      <c r="AH28" s="1631"/>
      <c r="AI28" s="1083">
        <f>IF(ISERROR((AI26*AI27)),0,(AI26*AI27))</f>
        <v>0</v>
      </c>
      <c r="AJ28" s="1631"/>
      <c r="AK28" s="1631"/>
      <c r="AL28" s="1631"/>
      <c r="AM28" s="1631"/>
    </row>
    <row r="29" spans="1:39" ht="12.95" customHeight="1">
      <c r="B29" s="1208" t="s">
        <v>623</v>
      </c>
      <c r="C29" s="1209"/>
      <c r="D29" s="1209"/>
      <c r="E29" s="1209"/>
      <c r="F29" s="1209"/>
      <c r="G29" s="1209"/>
      <c r="H29" s="1209"/>
      <c r="I29" s="1209"/>
      <c r="J29" s="1209"/>
      <c r="K29" s="1209"/>
      <c r="L29" s="1209"/>
      <c r="M29" s="1209"/>
      <c r="N29" s="1209"/>
      <c r="O29" s="1209"/>
      <c r="P29" s="1209"/>
      <c r="Q29" s="1209"/>
      <c r="R29" s="1209"/>
      <c r="S29" s="1210"/>
      <c r="T29" s="1626">
        <f>T28+Y28+AD28+AI28</f>
        <v>11929894</v>
      </c>
      <c r="U29" s="1627"/>
      <c r="V29" s="1627"/>
      <c r="W29" s="1627"/>
      <c r="X29" s="1627"/>
      <c r="Y29" s="1627"/>
      <c r="Z29" s="1627"/>
      <c r="AA29" s="1627"/>
      <c r="AB29" s="1627"/>
      <c r="AC29" s="1627"/>
      <c r="AD29" s="1627"/>
      <c r="AE29" s="1627"/>
      <c r="AF29" s="1627"/>
      <c r="AG29" s="1627"/>
      <c r="AH29" s="1627"/>
      <c r="AI29" s="1627"/>
      <c r="AJ29" s="1627"/>
      <c r="AK29" s="1627"/>
      <c r="AL29" s="1627"/>
      <c r="AM29" s="1628"/>
    </row>
    <row r="30" spans="1:39" ht="12.95" customHeight="1">
      <c r="B30" s="1992"/>
      <c r="C30" s="1992"/>
      <c r="D30" s="1992"/>
      <c r="E30" s="1992"/>
      <c r="F30" s="1992"/>
      <c r="G30" s="1992"/>
      <c r="H30" s="1992"/>
      <c r="I30" s="1992"/>
      <c r="J30" s="1992"/>
      <c r="K30" s="1992"/>
      <c r="L30" s="1992"/>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5" t="s">
        <v>1600</v>
      </c>
      <c r="Z35" s="1635"/>
      <c r="AA35" s="1635"/>
      <c r="AB35" s="1635"/>
      <c r="AC35" s="1635"/>
      <c r="AD35" s="1526" t="s">
        <v>41</v>
      </c>
      <c r="AE35" s="1526"/>
      <c r="AF35" s="1526"/>
      <c r="AG35" s="1526"/>
      <c r="AH35" s="1526"/>
    </row>
    <row r="36" spans="1:40" ht="12.95" customHeight="1">
      <c r="B36" s="202"/>
      <c r="X36" s="71"/>
      <c r="Y36" s="1635"/>
      <c r="Z36" s="1635"/>
      <c r="AA36" s="1635"/>
      <c r="AB36" s="1635"/>
      <c r="AC36" s="1635"/>
      <c r="AD36" s="1526"/>
      <c r="AE36" s="1526"/>
      <c r="AF36" s="1526"/>
      <c r="AG36" s="1526"/>
      <c r="AH36" s="15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5"/>
      <c r="Z37" s="1635"/>
      <c r="AA37" s="1635"/>
      <c r="AB37" s="1635"/>
      <c r="AC37" s="1635"/>
      <c r="AD37" s="1526"/>
      <c r="AE37" s="1526"/>
      <c r="AF37" s="1526"/>
      <c r="AG37" s="1526"/>
      <c r="AH37" s="1526"/>
    </row>
    <row r="38" spans="1:40" ht="12.95" customHeight="1">
      <c r="A38" s="3"/>
      <c r="B38" s="1208" t="s">
        <v>843</v>
      </c>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10"/>
      <c r="Y38" s="1122">
        <f>IF(T24&gt;=(T23+Y23+AD23+AI23),T28+Y28,0)</f>
        <v>0</v>
      </c>
      <c r="Z38" s="1122"/>
      <c r="AA38" s="1122"/>
      <c r="AB38" s="1122"/>
      <c r="AC38" s="1122"/>
      <c r="AD38" s="1122">
        <f>IF(T24&gt;=(T23+Y23+AD23+AI23),AD28+AI28,0)</f>
        <v>0</v>
      </c>
      <c r="AE38" s="1122"/>
      <c r="AF38" s="1122"/>
      <c r="AG38" s="1122"/>
      <c r="AH38" s="1122"/>
    </row>
    <row r="39" spans="1:40" ht="12.95" customHeight="1">
      <c r="B39" s="1208" t="s">
        <v>765</v>
      </c>
      <c r="C39" s="1209"/>
      <c r="D39" s="1209"/>
      <c r="E39" s="1209"/>
      <c r="F39" s="1209"/>
      <c r="G39" s="1209"/>
      <c r="H39" s="1209"/>
      <c r="I39" s="1209"/>
      <c r="J39" s="1209"/>
      <c r="K39" s="1209"/>
      <c r="L39" s="1209"/>
      <c r="M39" s="1209"/>
      <c r="N39" s="1209"/>
      <c r="O39" s="1209"/>
      <c r="P39" s="1209"/>
      <c r="Q39" s="1209"/>
      <c r="R39" s="1209"/>
      <c r="S39" s="1209"/>
      <c r="T39" s="1209"/>
      <c r="U39" s="1209"/>
      <c r="V39" s="1209"/>
      <c r="W39" s="1209"/>
      <c r="X39" s="1210"/>
      <c r="Y39" s="1991">
        <v>0.09</v>
      </c>
      <c r="Z39" s="1991"/>
      <c r="AA39" s="1991"/>
      <c r="AB39" s="1991"/>
      <c r="AC39" s="1991"/>
      <c r="AD39" s="1991">
        <f>'Basis &amp; Credits'!AD39:AH39</f>
        <v>0.04</v>
      </c>
      <c r="AE39" s="1991"/>
      <c r="AF39" s="1991"/>
      <c r="AG39" s="1991"/>
      <c r="AH39" s="1991"/>
    </row>
    <row r="40" spans="1:40" ht="12.95" customHeight="1">
      <c r="A40" s="3"/>
      <c r="B40" s="1208" t="s">
        <v>23</v>
      </c>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10"/>
      <c r="Y40" s="1122">
        <f>ROUND(Y38*Y39,0)</f>
        <v>0</v>
      </c>
      <c r="Z40" s="1122"/>
      <c r="AA40" s="1122"/>
      <c r="AB40" s="1122"/>
      <c r="AC40" s="1122"/>
      <c r="AD40" s="1628">
        <f>ROUND(AD38*AD39,0)</f>
        <v>0</v>
      </c>
      <c r="AE40" s="1122"/>
      <c r="AF40" s="1122"/>
      <c r="AG40" s="1122"/>
      <c r="AH40" s="1122"/>
    </row>
    <row r="41" spans="1:40" ht="12.95" customHeight="1">
      <c r="B41" s="1208" t="s">
        <v>617</v>
      </c>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10"/>
      <c r="Y41" s="1626">
        <f>IF((Y40+AD40)&gt;2500000,2500000,Y40+AD40)</f>
        <v>0</v>
      </c>
      <c r="Z41" s="1627"/>
      <c r="AA41" s="1627"/>
      <c r="AB41" s="1627"/>
      <c r="AC41" s="1627"/>
      <c r="AD41" s="1627"/>
      <c r="AE41" s="1627"/>
      <c r="AF41" s="1627"/>
      <c r="AG41" s="1627"/>
      <c r="AH41" s="1628"/>
    </row>
    <row r="42" spans="1:40" ht="12.95" customHeight="1">
      <c r="A42" s="3"/>
      <c r="B42" s="1660" t="s">
        <v>1162</v>
      </c>
      <c r="C42" s="1660"/>
      <c r="D42" s="1660"/>
      <c r="E42" s="1660"/>
      <c r="F42" s="1660"/>
      <c r="G42" s="1660"/>
      <c r="H42" s="1660"/>
      <c r="I42" s="1660"/>
      <c r="J42" s="1660"/>
      <c r="K42" s="1660"/>
      <c r="L42" s="1660"/>
      <c r="M42" s="1660"/>
      <c r="N42" s="1660"/>
      <c r="O42" s="1660"/>
      <c r="P42" s="1660"/>
      <c r="Q42" s="1660"/>
      <c r="R42" s="1660"/>
      <c r="S42" s="1660"/>
      <c r="T42" s="1660"/>
      <c r="U42" s="1660"/>
      <c r="V42" s="1660"/>
      <c r="W42" s="1660"/>
      <c r="X42" s="1660"/>
      <c r="Y42" s="1660"/>
      <c r="Z42" s="1660"/>
      <c r="AA42" s="1660"/>
      <c r="AB42" s="1660"/>
      <c r="AC42" s="1660"/>
      <c r="AD42" s="1660"/>
      <c r="AE42" s="1660"/>
      <c r="AF42" s="1660"/>
      <c r="AG42" s="1660"/>
      <c r="AH42" s="1660"/>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19">
        <f>'Sources and Uses Budget'!B104-'Sources and Uses Budget'!$B$15</f>
        <v>28015770</v>
      </c>
      <c r="AC46" s="1220"/>
      <c r="AD46" s="1220"/>
      <c r="AE46" s="1220"/>
      <c r="AF46" s="1221"/>
    </row>
    <row r="47" spans="1:40" ht="12.95" customHeight="1">
      <c r="D47" s="3" t="s">
        <v>837</v>
      </c>
      <c r="AB47" s="1219">
        <f>Application!AG641-MIN('Sources and Uses Budget'!B15,Application!AG393)</f>
        <v>0</v>
      </c>
      <c r="AC47" s="1220"/>
      <c r="AD47" s="1220"/>
      <c r="AE47" s="1220"/>
      <c r="AF47" s="1221"/>
    </row>
    <row r="48" spans="1:40" ht="12.95" customHeight="1">
      <c r="D48" s="3" t="s">
        <v>378</v>
      </c>
      <c r="AB48" s="1219">
        <f>AB46-AB47</f>
        <v>28015770</v>
      </c>
      <c r="AC48" s="1220"/>
      <c r="AD48" s="1220"/>
      <c r="AE48" s="1220"/>
      <c r="AF48" s="1221"/>
    </row>
    <row r="49" spans="1:40" ht="12.95" customHeight="1">
      <c r="D49" s="3" t="s">
        <v>872</v>
      </c>
      <c r="AA49" s="34"/>
      <c r="AB49" s="1655"/>
      <c r="AC49" s="1656"/>
      <c r="AD49" s="1656"/>
      <c r="AE49" s="1656"/>
      <c r="AF49" s="1657"/>
    </row>
    <row r="50" spans="1:40" s="321" customFormat="1" ht="12.95" customHeight="1">
      <c r="A50"/>
      <c r="B50"/>
      <c r="C50"/>
      <c r="D50"/>
      <c r="E50" s="1661" t="s">
        <v>1352</v>
      </c>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351"/>
      <c r="AB50" s="351"/>
      <c r="AC50" s="351"/>
      <c r="AD50" s="351"/>
      <c r="AE50" s="351"/>
      <c r="AF50" s="351"/>
      <c r="AG50"/>
      <c r="AH50"/>
      <c r="AI50"/>
      <c r="AJ50"/>
      <c r="AK50"/>
      <c r="AL50"/>
      <c r="AM50"/>
      <c r="AN50"/>
    </row>
    <row r="51" spans="1:40" s="321" customFormat="1" ht="12.95" customHeight="1">
      <c r="A51"/>
      <c r="B51"/>
      <c r="C51"/>
      <c r="D51"/>
      <c r="E51" s="1661"/>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9">
        <f>ROUND(IF(ISERROR((AB48/AB49)),0,(AB48/AB49)),0)</f>
        <v>0</v>
      </c>
      <c r="AC53" s="1220"/>
      <c r="AD53" s="1220"/>
      <c r="AE53" s="1220"/>
      <c r="AF53" s="1221"/>
    </row>
    <row r="54" spans="1:40" ht="12.95" customHeight="1">
      <c r="D54" s="3" t="s">
        <v>561</v>
      </c>
      <c r="AB54" s="1219">
        <f>(AB53/10)</f>
        <v>0</v>
      </c>
      <c r="AC54" s="1220"/>
      <c r="AD54" s="1220"/>
      <c r="AE54" s="1220"/>
      <c r="AF54" s="1221"/>
    </row>
    <row r="55" spans="1:40" ht="12.95" customHeight="1">
      <c r="D55" s="3" t="s">
        <v>341</v>
      </c>
      <c r="AB55" s="1993">
        <f>(IF((Y41&lt;AB54),Y41,AB54))</f>
        <v>0</v>
      </c>
      <c r="AC55" s="1994"/>
      <c r="AD55" s="1994"/>
      <c r="AE55" s="1994"/>
      <c r="AF55" s="1995"/>
    </row>
    <row r="56" spans="1:40" ht="12.95" customHeight="1">
      <c r="D56" s="3" t="s">
        <v>107</v>
      </c>
      <c r="AB56" s="1219">
        <f>ROUND((10*AB55*AB49),0)</f>
        <v>0</v>
      </c>
      <c r="AC56" s="1220"/>
      <c r="AD56" s="1220"/>
      <c r="AE56" s="1220"/>
      <c r="AF56" s="1221"/>
    </row>
    <row r="57" spans="1:40" ht="12.95" customHeight="1">
      <c r="D57" s="3"/>
      <c r="AB57" s="274"/>
      <c r="AC57" s="274"/>
      <c r="AD57" s="274"/>
      <c r="AE57" s="274"/>
      <c r="AF57" s="274"/>
    </row>
    <row r="58" spans="1:40" ht="12.95" customHeight="1">
      <c r="D58" s="3" t="s">
        <v>106</v>
      </c>
      <c r="AB58" s="1114">
        <f>AB48-AB56</f>
        <v>28015770</v>
      </c>
      <c r="AC58" s="1114"/>
      <c r="AD58" s="1114"/>
      <c r="AE58" s="1114"/>
      <c r="AF58" s="111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64" t="s">
        <v>1742</v>
      </c>
      <c r="B60" s="1664"/>
      <c r="C60" s="1664"/>
      <c r="D60" s="1664"/>
      <c r="E60" s="1664"/>
      <c r="F60" s="1664"/>
      <c r="G60" s="1664"/>
      <c r="H60" s="1664"/>
      <c r="I60" s="1664"/>
      <c r="J60" s="1664"/>
      <c r="K60" s="1664"/>
      <c r="L60" s="1664"/>
      <c r="M60" s="1664"/>
      <c r="N60" s="1664"/>
      <c r="O60" s="1664"/>
      <c r="P60" s="1664"/>
      <c r="Q60" s="1664"/>
      <c r="R60" s="1664"/>
      <c r="S60" s="1664"/>
      <c r="T60" s="1664"/>
      <c r="U60" s="1664"/>
      <c r="V60" s="1664"/>
      <c r="W60" s="1664"/>
      <c r="X60" s="1664"/>
      <c r="Y60" s="1664"/>
      <c r="Z60" s="1664"/>
      <c r="AA60" s="1664"/>
      <c r="AB60" s="1664"/>
      <c r="AC60" s="1664"/>
      <c r="AD60" s="1664"/>
      <c r="AE60" s="1664"/>
      <c r="AF60" s="1664"/>
      <c r="AG60" s="1664"/>
      <c r="AH60" s="1664"/>
      <c r="AI60" s="1664"/>
      <c r="AJ60" s="1664"/>
      <c r="AK60" s="1664"/>
      <c r="AL60" s="1664"/>
      <c r="AM60" s="1664"/>
      <c r="AN60" s="1664"/>
    </row>
    <row r="61" spans="1:40" ht="12.95" customHeight="1" thickTop="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row r="62" spans="1:40" ht="12.95" customHeight="1">
      <c r="A62" s="3" t="s">
        <v>122</v>
      </c>
      <c r="C62" s="3" t="s">
        <v>509</v>
      </c>
      <c r="Y62" s="1189" t="s">
        <v>298</v>
      </c>
      <c r="Z62" s="1189"/>
      <c r="AA62" s="1189"/>
      <c r="AB62" s="1189"/>
      <c r="AC62" s="1189"/>
      <c r="AD62" s="1189" t="s">
        <v>41</v>
      </c>
      <c r="AE62" s="1189"/>
      <c r="AF62" s="1189"/>
      <c r="AG62" s="1189"/>
      <c r="AH62" s="118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122">
        <f>Y28</f>
        <v>0</v>
      </c>
      <c r="Z63" s="1658"/>
      <c r="AA63" s="1658"/>
      <c r="AB63" s="1658"/>
      <c r="AC63" s="1658"/>
      <c r="AD63" s="1122">
        <f>AI28</f>
        <v>0</v>
      </c>
      <c r="AE63" s="1658"/>
      <c r="AF63" s="1658"/>
      <c r="AG63" s="1658"/>
      <c r="AH63" s="1658"/>
    </row>
    <row r="64" spans="1:40" ht="12.95" customHeight="1">
      <c r="C64" s="3"/>
      <c r="E64" s="1665" t="s">
        <v>1289</v>
      </c>
      <c r="F64" s="1665"/>
      <c r="G64" s="1665"/>
      <c r="H64" s="1665"/>
      <c r="I64" s="1665"/>
      <c r="J64" s="1665"/>
      <c r="K64" s="1665"/>
      <c r="L64" s="1665"/>
      <c r="M64" s="1665"/>
      <c r="N64" s="1665"/>
      <c r="O64" s="1665"/>
      <c r="P64" s="1665"/>
      <c r="Q64" s="1665"/>
      <c r="R64" s="1665"/>
      <c r="S64" s="1665"/>
      <c r="T64" s="1665"/>
      <c r="U64" s="1665"/>
      <c r="V64" s="1665"/>
      <c r="W64" s="1665"/>
      <c r="X64" s="1665"/>
      <c r="Y64" s="1665"/>
      <c r="Z64" s="1665"/>
      <c r="AA64" s="1665"/>
      <c r="AB64" s="1665"/>
      <c r="AC64" s="1665"/>
      <c r="AD64" s="1665"/>
      <c r="AE64" s="1665"/>
      <c r="AF64" s="1665"/>
      <c r="AG64" s="1665"/>
      <c r="AH64" s="1665"/>
    </row>
    <row r="65" spans="1:34" ht="30.75" customHeight="1">
      <c r="C65" s="3"/>
      <c r="E65" s="1665"/>
      <c r="F65" s="1665"/>
      <c r="G65" s="1665"/>
      <c r="H65" s="1665"/>
      <c r="I65" s="1665"/>
      <c r="J65" s="1665"/>
      <c r="K65" s="1665"/>
      <c r="L65" s="1665"/>
      <c r="M65" s="1665"/>
      <c r="N65" s="1665"/>
      <c r="O65" s="1665"/>
      <c r="P65" s="1665"/>
      <c r="Q65" s="1665"/>
      <c r="R65" s="1665"/>
      <c r="S65" s="1665"/>
      <c r="T65" s="1665"/>
      <c r="U65" s="1665"/>
      <c r="V65" s="1665"/>
      <c r="W65" s="1665"/>
      <c r="X65" s="1665"/>
      <c r="Y65" s="1665"/>
      <c r="Z65" s="1665"/>
      <c r="AA65" s="1665"/>
      <c r="AB65" s="1665"/>
      <c r="AC65" s="1665"/>
      <c r="AD65" s="1665"/>
      <c r="AE65" s="1665"/>
      <c r="AF65" s="1665"/>
      <c r="AG65" s="1665"/>
      <c r="AH65" s="166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54">
        <v>0.3</v>
      </c>
      <c r="Z66" s="1654"/>
      <c r="AA66" s="1654"/>
      <c r="AB66" s="1654"/>
      <c r="AC66" s="1654"/>
      <c r="AD66" s="1654">
        <v>0.13</v>
      </c>
      <c r="AE66" s="1654"/>
      <c r="AF66" s="1654"/>
      <c r="AG66" s="1654"/>
      <c r="AH66" s="1654"/>
    </row>
    <row r="67" spans="1:34" ht="12.95" customHeight="1">
      <c r="C67" s="3"/>
      <c r="D67" s="3" t="s">
        <v>941</v>
      </c>
      <c r="Y67" s="1122">
        <f>ROUND(Y63*Y66,0)</f>
        <v>0</v>
      </c>
      <c r="Z67" s="1658"/>
      <c r="AA67" s="1658"/>
      <c r="AB67" s="1658"/>
      <c r="AC67" s="1658"/>
      <c r="AD67" s="1122" t="str">
        <f>IF(OR(Application!D211="At-Risk",Application!D211="At-Risk/Located in Rural Census Tract",Application!D214="At-Risk"),ROUND(AD63*AD66,0),"$0")</f>
        <v>$0</v>
      </c>
      <c r="AE67" s="1122"/>
      <c r="AF67" s="1122"/>
      <c r="AG67" s="1122"/>
      <c r="AH67" s="112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55"/>
      <c r="AC70" s="1656"/>
      <c r="AD70" s="1656"/>
      <c r="AE70" s="1656"/>
      <c r="AF70" s="1657"/>
    </row>
    <row r="71" spans="1:34" ht="12.95" customHeight="1">
      <c r="A71" s="3"/>
      <c r="C71" s="3"/>
      <c r="D71" s="3"/>
      <c r="E71" s="1659" t="s">
        <v>1737</v>
      </c>
      <c r="F71" s="1659"/>
      <c r="G71" s="1659"/>
      <c r="H71" s="1659"/>
      <c r="I71" s="1659"/>
      <c r="J71" s="1659"/>
      <c r="K71" s="1659"/>
      <c r="L71" s="1659"/>
      <c r="M71" s="1659"/>
      <c r="N71" s="1659"/>
      <c r="O71" s="1659"/>
      <c r="P71" s="1659"/>
      <c r="Q71" s="1659"/>
      <c r="R71" s="1659"/>
      <c r="S71" s="1659"/>
      <c r="T71" s="1659"/>
      <c r="U71" s="1659"/>
      <c r="V71" s="1659"/>
      <c r="W71" s="1659"/>
      <c r="X71" s="1659"/>
      <c r="Y71" s="1659"/>
      <c r="Z71" s="1659"/>
      <c r="AA71" s="251"/>
      <c r="AB71" s="251"/>
      <c r="AC71" s="251"/>
    </row>
    <row r="72" spans="1:34" ht="12.95" customHeight="1">
      <c r="A72" s="3"/>
      <c r="C72" s="3"/>
      <c r="D72" s="3"/>
      <c r="E72" s="1659"/>
      <c r="F72" s="1659"/>
      <c r="G72" s="1659"/>
      <c r="H72" s="1659"/>
      <c r="I72" s="1659"/>
      <c r="J72" s="1659"/>
      <c r="K72" s="1659"/>
      <c r="L72" s="1659"/>
      <c r="M72" s="1659"/>
      <c r="N72" s="1659"/>
      <c r="O72" s="1659"/>
      <c r="P72" s="1659"/>
      <c r="Q72" s="1659"/>
      <c r="R72" s="1659"/>
      <c r="S72" s="1659"/>
      <c r="T72" s="1659"/>
      <c r="U72" s="1659"/>
      <c r="V72" s="1659"/>
      <c r="W72" s="1659"/>
      <c r="X72" s="1659"/>
      <c r="Y72" s="1659"/>
      <c r="Z72" s="1659"/>
      <c r="AA72" s="251"/>
      <c r="AB72" s="251"/>
      <c r="AC72" s="251"/>
    </row>
    <row r="73" spans="1:34" ht="12.95" customHeight="1">
      <c r="A73" s="3"/>
      <c r="C73" s="3"/>
      <c r="D73" s="3"/>
      <c r="E73" s="1659"/>
      <c r="F73" s="1659"/>
      <c r="G73" s="1659"/>
      <c r="H73" s="1659"/>
      <c r="I73" s="1659"/>
      <c r="J73" s="1659"/>
      <c r="K73" s="1659"/>
      <c r="L73" s="1659"/>
      <c r="M73" s="1659"/>
      <c r="N73" s="1659"/>
      <c r="O73" s="1659"/>
      <c r="P73" s="1659"/>
      <c r="Q73" s="1659"/>
      <c r="R73" s="1659"/>
      <c r="S73" s="1659"/>
      <c r="T73" s="1659"/>
      <c r="U73" s="1659"/>
      <c r="V73" s="1659"/>
      <c r="W73" s="1659"/>
      <c r="X73" s="1659"/>
      <c r="Y73" s="1659"/>
      <c r="Z73" s="165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40">
        <f>ROUND(IF(ISERROR((AB58/AB70)),0,(AB58/AB70)),0)</f>
        <v>0</v>
      </c>
      <c r="AC75" s="1540"/>
      <c r="AD75" s="1540"/>
      <c r="AE75" s="1540"/>
      <c r="AF75" s="1540"/>
    </row>
    <row r="76" spans="1:34" ht="12.95" customHeight="1">
      <c r="C76" s="3"/>
      <c r="D76" s="3" t="s">
        <v>105</v>
      </c>
      <c r="AB76" s="1579">
        <f>IF((Y67+AD67&lt;AB75),Y67+AD67,AB75)</f>
        <v>0</v>
      </c>
      <c r="AC76" s="1580"/>
      <c r="AD76" s="1580"/>
      <c r="AE76" s="1580"/>
      <c r="AF76" s="1581"/>
    </row>
    <row r="77" spans="1:34" ht="12.95" customHeight="1">
      <c r="C77" s="3"/>
      <c r="D77" s="3" t="s">
        <v>942</v>
      </c>
      <c r="AB77" s="1653">
        <f>AB76*AB70</f>
        <v>0</v>
      </c>
      <c r="AC77" s="1653"/>
      <c r="AD77" s="1653"/>
      <c r="AE77" s="1653"/>
      <c r="AF77" s="1653"/>
    </row>
    <row r="78" spans="1:34" ht="12.95" customHeight="1">
      <c r="C78" s="3"/>
      <c r="D78" s="3"/>
      <c r="AB78" s="595"/>
      <c r="AC78" s="595"/>
      <c r="AD78" s="595"/>
      <c r="AE78" s="595"/>
      <c r="AF78" s="595"/>
    </row>
    <row r="79" spans="1:34" ht="12.95" customHeight="1">
      <c r="D79" s="3" t="s">
        <v>106</v>
      </c>
      <c r="AB79" s="1114">
        <f>AB48-(AB56+AB77)</f>
        <v>28015770</v>
      </c>
      <c r="AC79" s="1114"/>
      <c r="AD79" s="1114"/>
      <c r="AE79" s="1114"/>
      <c r="AF79" s="1114"/>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738000</v>
      </c>
      <c r="C5" s="327">
        <f>'Sources and Uses Budget'!C4</f>
        <v>738000</v>
      </c>
      <c r="D5" s="327">
        <f>'Sources and Uses Budget'!C4</f>
        <v>738000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738000</v>
      </c>
      <c r="C9" s="329">
        <f>SUM(C5:C8)</f>
        <v>738000</v>
      </c>
      <c r="D9" s="329">
        <f>SUM(D5:D8)</f>
        <v>738000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738000</v>
      </c>
      <c r="C13" s="329">
        <f>SUM(C9+C12)</f>
        <v>738000</v>
      </c>
      <c r="D13" s="329">
        <f>SUM(D9+D12)</f>
        <v>738000</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2251190</v>
      </c>
      <c r="C30" s="327">
        <f>'Sources and Uses Budget'!C29</f>
        <v>2251190</v>
      </c>
      <c r="D30" s="327">
        <f>'Sources and Uses Budget'!C29</f>
        <v>2251190</v>
      </c>
      <c r="E30" s="329">
        <f t="shared" si="0"/>
        <v>0</v>
      </c>
      <c r="F30" s="328"/>
      <c r="G30" s="328"/>
    </row>
    <row r="31" spans="1:7" s="565" customFormat="1" ht="12.75">
      <c r="A31" s="237" t="s">
        <v>911</v>
      </c>
      <c r="B31" s="327">
        <f>'Sources and Uses Budget'!C30</f>
        <v>10234892</v>
      </c>
      <c r="C31" s="327">
        <f>'Sources and Uses Budget'!C30</f>
        <v>10234892</v>
      </c>
      <c r="D31" s="327">
        <f>'Sources and Uses Budget'!C30</f>
        <v>10234892</v>
      </c>
      <c r="E31" s="329">
        <f t="shared" si="0"/>
        <v>0</v>
      </c>
      <c r="F31" s="328"/>
      <c r="G31" s="328"/>
    </row>
    <row r="32" spans="1:7" s="565" customFormat="1" ht="12.75">
      <c r="A32" s="237" t="s">
        <v>912</v>
      </c>
      <c r="B32" s="327">
        <f>'Sources and Uses Budget'!C31</f>
        <v>749165</v>
      </c>
      <c r="C32" s="327">
        <f>'Sources and Uses Budget'!C31</f>
        <v>749165</v>
      </c>
      <c r="D32" s="327">
        <f>'Sources and Uses Budget'!C31</f>
        <v>749165</v>
      </c>
      <c r="E32" s="329">
        <f t="shared" si="0"/>
        <v>0</v>
      </c>
      <c r="F32" s="328"/>
      <c r="G32" s="328"/>
    </row>
    <row r="33" spans="1:7" s="565" customFormat="1" ht="12.75">
      <c r="A33" s="237" t="s">
        <v>913</v>
      </c>
      <c r="B33" s="327">
        <f>'Sources and Uses Budget'!C32</f>
        <v>264705</v>
      </c>
      <c r="C33" s="327">
        <f>'Sources and Uses Budget'!C32</f>
        <v>264705</v>
      </c>
      <c r="D33" s="327">
        <f>'Sources and Uses Budget'!C32</f>
        <v>264705</v>
      </c>
      <c r="E33" s="329">
        <f t="shared" si="0"/>
        <v>0</v>
      </c>
      <c r="F33" s="328"/>
      <c r="G33" s="328"/>
    </row>
    <row r="34" spans="1:7" s="565" customFormat="1" ht="12.75">
      <c r="A34" s="237" t="s">
        <v>914</v>
      </c>
      <c r="B34" s="327">
        <f>'Sources and Uses Budget'!C33</f>
        <v>794115</v>
      </c>
      <c r="C34" s="327">
        <f>'Sources and Uses Budget'!C33</f>
        <v>794115</v>
      </c>
      <c r="D34" s="327">
        <f>'Sources and Uses Budget'!C33</f>
        <v>794115</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428822</v>
      </c>
      <c r="C36" s="327">
        <f>'Sources and Uses Budget'!C35</f>
        <v>428822</v>
      </c>
      <c r="D36" s="327">
        <f>'Sources and Uses Budget'!C35</f>
        <v>428822</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919</v>
      </c>
      <c r="B39" s="891">
        <f>'Sources and Uses Budget'!C38</f>
        <v>14722889</v>
      </c>
      <c r="C39" s="891">
        <f>'Sources and Uses Budget'!C38</f>
        <v>14722889</v>
      </c>
      <c r="D39" s="891">
        <f>'Sources and Uses Budget'!C38</f>
        <v>14722889</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650000</v>
      </c>
      <c r="C41" s="327">
        <f>'Sources and Uses Budget'!C40</f>
        <v>650000</v>
      </c>
      <c r="D41" s="327">
        <f>'Sources and Uses Budget'!C40</f>
        <v>650000</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650000</v>
      </c>
      <c r="C43" s="891">
        <f>'Sources and Uses Budget'!C42</f>
        <v>650000</v>
      </c>
      <c r="D43" s="891">
        <f>'Sources and Uses Budget'!C42</f>
        <v>650000</v>
      </c>
      <c r="E43" s="329">
        <f>C43-B43</f>
        <v>0</v>
      </c>
      <c r="F43" s="328"/>
      <c r="G43" s="328"/>
    </row>
    <row r="44" spans="1:7" s="565" customFormat="1" ht="12.75">
      <c r="A44" s="884" t="s">
        <v>924</v>
      </c>
      <c r="B44" s="327">
        <f>'Sources and Uses Budget'!C43</f>
        <v>150000</v>
      </c>
      <c r="C44" s="327">
        <f>'Sources and Uses Budget'!C43</f>
        <v>150000</v>
      </c>
      <c r="D44" s="327">
        <f>'Sources and Uses Budget'!C43</f>
        <v>150000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1415241</v>
      </c>
      <c r="C46" s="327">
        <f>'Sources and Uses Budget'!C45</f>
        <v>1415241</v>
      </c>
      <c r="D46" s="327">
        <f>'Sources and Uses Budget'!C45</f>
        <v>1415241</v>
      </c>
      <c r="E46" s="329">
        <f t="shared" si="0"/>
        <v>0</v>
      </c>
      <c r="F46" s="328"/>
      <c r="G46" s="328"/>
    </row>
    <row r="47" spans="1:7" s="565" customFormat="1" ht="12.75">
      <c r="A47" s="237" t="s">
        <v>927</v>
      </c>
      <c r="B47" s="327">
        <f>'Sources and Uses Budget'!C46</f>
        <v>0</v>
      </c>
      <c r="C47" s="327">
        <f>'Sources and Uses Budget'!C46</f>
        <v>0</v>
      </c>
      <c r="D47" s="327">
        <f>'Sources and Uses Budget'!C46</f>
        <v>0</v>
      </c>
      <c r="E47" s="329">
        <f t="shared" si="0"/>
        <v>0</v>
      </c>
      <c r="F47" s="328"/>
      <c r="G47" s="328"/>
    </row>
    <row r="48" spans="1:7" s="565" customFormat="1" ht="12.75">
      <c r="A48" s="237" t="s">
        <v>928</v>
      </c>
      <c r="B48" s="327">
        <f>'Sources and Uses Budget'!C47</f>
        <v>35000</v>
      </c>
      <c r="C48" s="327">
        <f>'Sources and Uses Budget'!C47</f>
        <v>35000</v>
      </c>
      <c r="D48" s="327">
        <f>'Sources and Uses Budget'!C47</f>
        <v>35000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40000</v>
      </c>
      <c r="C50" s="327">
        <f>'Sources and Uses Budget'!C49</f>
        <v>40000</v>
      </c>
      <c r="D50" s="327">
        <f>'Sources and Uses Budget'!C49</f>
        <v>40000</v>
      </c>
      <c r="E50" s="329">
        <f t="shared" si="0"/>
        <v>0</v>
      </c>
      <c r="F50" s="328"/>
      <c r="G50" s="328"/>
    </row>
    <row r="51" spans="1:7" s="565" customFormat="1" ht="12.75">
      <c r="A51" s="237" t="s">
        <v>930</v>
      </c>
      <c r="B51" s="327">
        <f>'Sources and Uses Budget'!C50</f>
        <v>14760</v>
      </c>
      <c r="C51" s="327">
        <f>'Sources and Uses Budget'!C50</f>
        <v>14760</v>
      </c>
      <c r="D51" s="327">
        <f>'Sources and Uses Budget'!C50</f>
        <v>14760</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20000</v>
      </c>
      <c r="C53" s="327">
        <f>'Sources and Uses Budget'!C52</f>
        <v>20000</v>
      </c>
      <c r="D53" s="327">
        <f>'Sources and Uses Budget'!C52</f>
        <v>20000</v>
      </c>
      <c r="E53" s="329">
        <f t="shared" si="0"/>
        <v>0</v>
      </c>
      <c r="F53" s="328"/>
      <c r="G53" s="328"/>
    </row>
    <row r="54" spans="1:7" s="565" customFormat="1" ht="12.75">
      <c r="A54" s="241" t="s">
        <v>933</v>
      </c>
      <c r="B54" s="891">
        <f>'Sources and Uses Budget'!C53</f>
        <v>1525001</v>
      </c>
      <c r="C54" s="891">
        <f>'Sources and Uses Budget'!C53</f>
        <v>1525001</v>
      </c>
      <c r="D54" s="891">
        <f>'Sources and Uses Budget'!C53</f>
        <v>1525001</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10000</v>
      </c>
      <c r="C57" s="327">
        <f>'Sources and Uses Budget'!C56</f>
        <v>10000</v>
      </c>
      <c r="D57" s="327">
        <f>'Sources and Uses Budget'!C56</f>
        <v>10000</v>
      </c>
      <c r="E57" s="329">
        <f t="shared" si="0"/>
        <v>0</v>
      </c>
      <c r="F57" s="328"/>
      <c r="G57" s="328"/>
    </row>
    <row r="58" spans="1:7" s="565" customFormat="1" ht="12.75">
      <c r="A58" s="885" t="s">
        <v>932</v>
      </c>
      <c r="B58" s="327">
        <f>'Sources and Uses Budget'!C57</f>
        <v>5000</v>
      </c>
      <c r="C58" s="327">
        <f>'Sources and Uses Budget'!C57</f>
        <v>5000</v>
      </c>
      <c r="D58" s="327">
        <f>'Sources and Uses Budget'!C57</f>
        <v>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15000</v>
      </c>
      <c r="C62" s="891">
        <f>'Sources and Uses Budget'!C61</f>
        <v>15000</v>
      </c>
      <c r="D62" s="891">
        <f>'Sources and Uses Budget'!C61</f>
        <v>15000</v>
      </c>
      <c r="E62" s="329">
        <f t="shared" si="0"/>
        <v>0</v>
      </c>
      <c r="F62" s="328"/>
      <c r="G62" s="328"/>
    </row>
    <row r="63" spans="1:7" s="565" customFormat="1" ht="12.75">
      <c r="A63" s="887" t="s">
        <v>501</v>
      </c>
      <c r="B63" s="891">
        <f>'Sources and Uses Budget'!C62</f>
        <v>17800890</v>
      </c>
      <c r="C63" s="891">
        <f>'Sources and Uses Budget'!C62</f>
        <v>17800890</v>
      </c>
      <c r="D63" s="891">
        <f>'Sources and Uses Budget'!C62</f>
        <v>17800890</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50000</v>
      </c>
      <c r="C69" s="327">
        <f>'Sources and Uses Budget'!C68</f>
        <v>50000</v>
      </c>
      <c r="D69" s="327">
        <f>'Sources and Uses Budget'!C68</f>
        <v>50000</v>
      </c>
      <c r="E69" s="329">
        <f t="shared" si="0"/>
        <v>0</v>
      </c>
      <c r="F69" s="328"/>
      <c r="G69" s="328"/>
    </row>
    <row r="70" spans="1:7" s="565" customFormat="1" ht="12.75">
      <c r="A70" s="241" t="s">
        <v>1945</v>
      </c>
      <c r="B70" s="891">
        <f>'Sources and Uses Budget'!C69</f>
        <v>115000</v>
      </c>
      <c r="C70" s="891">
        <f>'Sources and Uses Budget'!C69</f>
        <v>115000</v>
      </c>
      <c r="D70" s="891">
        <f>'Sources and Uses Budget'!C69</f>
        <v>115000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30000</v>
      </c>
      <c r="C72" s="327">
        <f>'Sources and Uses Budget'!C71</f>
        <v>30000</v>
      </c>
      <c r="D72" s="327">
        <f>'Sources and Uses Budget'!C71</f>
        <v>30000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89861</v>
      </c>
      <c r="C75" s="327">
        <f>'Sources and Uses Budget'!C74</f>
        <v>89861</v>
      </c>
      <c r="D75" s="327">
        <f>'Sources and Uses Budget'!C74</f>
        <v>89861</v>
      </c>
      <c r="E75" s="329">
        <f>C75-B75</f>
        <v>0</v>
      </c>
      <c r="F75" s="328"/>
      <c r="G75" s="328"/>
    </row>
    <row r="76" spans="1:7" s="565" customFormat="1" ht="12.75">
      <c r="A76" s="889" t="s">
        <v>533</v>
      </c>
      <c r="B76" s="327">
        <f>'Sources and Uses Budget'!C75</f>
        <v>4077205</v>
      </c>
      <c r="C76" s="327">
        <f>'Sources and Uses Budget'!C75</f>
        <v>4077205</v>
      </c>
      <c r="D76" s="327">
        <f>'Sources and Uses Budget'!C75</f>
        <v>4077205</v>
      </c>
      <c r="E76" s="329">
        <f>C76-B76</f>
        <v>0</v>
      </c>
      <c r="F76" s="328"/>
      <c r="G76" s="328"/>
    </row>
    <row r="77" spans="1:7" s="565" customFormat="1" ht="12.75">
      <c r="A77" s="884" t="s">
        <v>289</v>
      </c>
      <c r="B77" s="891">
        <f>'Sources and Uses Budget'!C76</f>
        <v>4197066</v>
      </c>
      <c r="C77" s="891">
        <f>'Sources and Uses Budget'!C76</f>
        <v>4197066</v>
      </c>
      <c r="D77" s="891">
        <f>'Sources and Uses Budget'!C76</f>
        <v>4197066</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736144</v>
      </c>
      <c r="C79" s="327">
        <f>'Sources and Uses Budget'!C78</f>
        <v>736144</v>
      </c>
      <c r="D79" s="327">
        <f>'Sources and Uses Budget'!C78</f>
        <v>736144</v>
      </c>
      <c r="E79" s="329">
        <f t="shared" ref="E79:E105" si="2">C79-B79</f>
        <v>0</v>
      </c>
      <c r="F79" s="328"/>
      <c r="G79" s="328"/>
    </row>
    <row r="80" spans="1:7" s="565" customFormat="1" ht="12.75">
      <c r="A80" s="885" t="s">
        <v>538</v>
      </c>
      <c r="B80" s="327">
        <f>'Sources and Uses Budget'!C79</f>
        <v>181924</v>
      </c>
      <c r="C80" s="327">
        <f>'Sources and Uses Budget'!C79</f>
        <v>181924</v>
      </c>
      <c r="D80" s="327">
        <f>'Sources and Uses Budget'!C79</f>
        <v>181924</v>
      </c>
      <c r="E80" s="329">
        <f t="shared" si="2"/>
        <v>0</v>
      </c>
      <c r="F80" s="328"/>
      <c r="G80" s="328"/>
    </row>
    <row r="81" spans="1:7" s="565" customFormat="1" ht="12.75">
      <c r="A81" s="884" t="s">
        <v>1734</v>
      </c>
      <c r="B81" s="891">
        <f>'Sources and Uses Budget'!C80</f>
        <v>918068</v>
      </c>
      <c r="C81" s="891">
        <f>'Sources and Uses Budget'!C80</f>
        <v>918068</v>
      </c>
      <c r="D81" s="891">
        <f>'Sources and Uses Budget'!C80</f>
        <v>918068</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69844</v>
      </c>
      <c r="C83" s="327">
        <f>'Sources and Uses Budget'!C82</f>
        <v>69844</v>
      </c>
      <c r="D83" s="327">
        <f>'Sources and Uses Budget'!C82</f>
        <v>69844</v>
      </c>
      <c r="E83" s="329">
        <f t="shared" si="2"/>
        <v>0</v>
      </c>
      <c r="F83" s="328"/>
      <c r="G83" s="328"/>
    </row>
    <row r="84" spans="1:7" s="565" customFormat="1" ht="12.75">
      <c r="A84" s="237" t="s">
        <v>516</v>
      </c>
      <c r="B84" s="327">
        <f>'Sources and Uses Budget'!C83</f>
        <v>7000</v>
      </c>
      <c r="C84" s="327">
        <f>'Sources and Uses Budget'!C83</f>
        <v>7000</v>
      </c>
      <c r="D84" s="327">
        <f>'Sources and Uses Budget'!C83</f>
        <v>7000</v>
      </c>
      <c r="E84" s="329">
        <f t="shared" si="2"/>
        <v>0</v>
      </c>
      <c r="F84" s="328"/>
      <c r="G84" s="328"/>
    </row>
    <row r="85" spans="1:7" s="565" customFormat="1" ht="12.75">
      <c r="A85" s="237" t="s">
        <v>517</v>
      </c>
      <c r="B85" s="327">
        <f>'Sources and Uses Budget'!C84</f>
        <v>1660913</v>
      </c>
      <c r="C85" s="327">
        <f>'Sources and Uses Budget'!C84</f>
        <v>1660913</v>
      </c>
      <c r="D85" s="327">
        <f>'Sources and Uses Budget'!C84</f>
        <v>1660913</v>
      </c>
      <c r="E85" s="329">
        <f t="shared" si="2"/>
        <v>0</v>
      </c>
      <c r="F85" s="328"/>
      <c r="G85" s="328"/>
    </row>
    <row r="86" spans="1:7" s="565" customFormat="1" ht="12.75">
      <c r="A86" s="237" t="s">
        <v>518</v>
      </c>
      <c r="B86" s="327">
        <f>'Sources and Uses Budget'!C85</f>
        <v>659999</v>
      </c>
      <c r="C86" s="327">
        <f>'Sources and Uses Budget'!C85</f>
        <v>659999</v>
      </c>
      <c r="D86" s="327">
        <f>'Sources and Uses Budget'!C85</f>
        <v>659999</v>
      </c>
      <c r="E86" s="329">
        <f t="shared" si="2"/>
        <v>0</v>
      </c>
      <c r="F86" s="328"/>
      <c r="G86" s="328"/>
    </row>
    <row r="87" spans="1:7" s="565" customFormat="1" ht="12.75">
      <c r="A87" s="237" t="s">
        <v>519</v>
      </c>
      <c r="B87" s="327">
        <f>'Sources and Uses Budget'!C86</f>
        <v>40000</v>
      </c>
      <c r="C87" s="327">
        <f>'Sources and Uses Budget'!C86</f>
        <v>40000</v>
      </c>
      <c r="D87" s="327">
        <f>'Sources and Uses Budget'!C86</f>
        <v>40000</v>
      </c>
      <c r="E87" s="329">
        <f t="shared" si="2"/>
        <v>0</v>
      </c>
      <c r="F87" s="328"/>
      <c r="G87" s="328"/>
    </row>
    <row r="88" spans="1:7" s="565" customFormat="1" ht="12.75">
      <c r="A88" s="237" t="s">
        <v>520</v>
      </c>
      <c r="B88" s="327">
        <f>'Sources and Uses Budget'!C87</f>
        <v>229490</v>
      </c>
      <c r="C88" s="327">
        <f>'Sources and Uses Budget'!C87</f>
        <v>229490</v>
      </c>
      <c r="D88" s="327">
        <f>'Sources and Uses Budget'!C87</f>
        <v>229490</v>
      </c>
      <c r="E88" s="329">
        <f t="shared" si="2"/>
        <v>0</v>
      </c>
      <c r="F88" s="328"/>
      <c r="G88" s="328"/>
    </row>
    <row r="89" spans="1:7" s="565" customFormat="1" ht="12.75">
      <c r="A89" s="237" t="s">
        <v>521</v>
      </c>
      <c r="B89" s="327">
        <f>'Sources and Uses Budget'!C88</f>
        <v>40000</v>
      </c>
      <c r="C89" s="327">
        <f>'Sources and Uses Budget'!C88</f>
        <v>40000</v>
      </c>
      <c r="D89" s="327">
        <f>'Sources and Uses Budget'!C88</f>
        <v>40000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1315</v>
      </c>
      <c r="B91" s="327">
        <f>'Sources and Uses Budget'!C90</f>
        <v>45000</v>
      </c>
      <c r="C91" s="327">
        <f>'Sources and Uses Budget'!C90</f>
        <v>45000</v>
      </c>
      <c r="D91" s="327">
        <f>'Sources and Uses Budget'!C90</f>
        <v>45000</v>
      </c>
      <c r="E91" s="329">
        <f t="shared" si="2"/>
        <v>0</v>
      </c>
      <c r="F91" s="328"/>
      <c r="G91" s="328"/>
    </row>
    <row r="92" spans="1:7" s="565" customFormat="1" ht="12.75">
      <c r="A92" s="248" t="s">
        <v>1732</v>
      </c>
      <c r="B92" s="327">
        <f>'Sources and Uses Budget'!C91</f>
        <v>7500</v>
      </c>
      <c r="C92" s="327">
        <f>'Sources and Uses Budget'!C91</f>
        <v>7500</v>
      </c>
      <c r="D92" s="327">
        <f>'Sources and Uses Budget'!C91</f>
        <v>7500</v>
      </c>
      <c r="E92" s="329">
        <f t="shared" si="2"/>
        <v>0</v>
      </c>
      <c r="F92" s="328"/>
      <c r="G92" s="328"/>
    </row>
    <row r="93" spans="1:7" s="565" customFormat="1" ht="12.75">
      <c r="A93" s="244" t="s">
        <v>533</v>
      </c>
      <c r="B93" s="327">
        <f>'Sources and Uses Budget'!C92</f>
        <v>125000</v>
      </c>
      <c r="C93" s="327">
        <f>'Sources and Uses Budget'!C92</f>
        <v>125000</v>
      </c>
      <c r="D93" s="327">
        <f>'Sources and Uses Budget'!C92</f>
        <v>125000</v>
      </c>
      <c r="E93" s="329">
        <f t="shared" si="2"/>
        <v>0</v>
      </c>
      <c r="F93" s="328"/>
      <c r="G93" s="328"/>
    </row>
    <row r="94" spans="1:7" s="565" customFormat="1" ht="12.75">
      <c r="A94" s="244" t="s">
        <v>533</v>
      </c>
      <c r="B94" s="327">
        <f>'Sources and Uses Budget'!C93</f>
        <v>250000</v>
      </c>
      <c r="C94" s="327">
        <f>'Sources and Uses Budget'!C93</f>
        <v>250000</v>
      </c>
      <c r="D94" s="327">
        <f>'Sources and Uses Budget'!C93</f>
        <v>250000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3144746</v>
      </c>
      <c r="C96" s="891">
        <f>'Sources and Uses Budget'!C95</f>
        <v>3144746</v>
      </c>
      <c r="D96" s="891">
        <f>'Sources and Uses Budget'!C95</f>
        <v>3144746</v>
      </c>
      <c r="E96" s="329">
        <f t="shared" si="2"/>
        <v>0</v>
      </c>
      <c r="F96" s="328"/>
      <c r="G96" s="328"/>
    </row>
    <row r="97" spans="1:7" s="565" customFormat="1" ht="12.75">
      <c r="A97" s="241" t="s">
        <v>524</v>
      </c>
      <c r="B97" s="891">
        <f>'Sources and Uses Budget'!C96</f>
        <v>26175770</v>
      </c>
      <c r="C97" s="891">
        <f>'Sources and Uses Budget'!C96</f>
        <v>26175770</v>
      </c>
      <c r="D97" s="891">
        <f>'Sources and Uses Budget'!C96</f>
        <v>26175770</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1840000</v>
      </c>
      <c r="C99" s="327">
        <f>'Sources and Uses Budget'!C98</f>
        <v>1840000</v>
      </c>
      <c r="D99" s="327">
        <f>'Sources and Uses Budget'!C98</f>
        <v>1840000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1840000</v>
      </c>
      <c r="C104" s="891">
        <f>'Sources and Uses Budget'!C103</f>
        <v>1840000</v>
      </c>
      <c r="D104" s="891">
        <f>'Sources and Uses Budget'!C103</f>
        <v>1840000</v>
      </c>
      <c r="E104" s="329">
        <f t="shared" si="2"/>
        <v>0</v>
      </c>
      <c r="F104" s="328"/>
      <c r="G104" s="328"/>
    </row>
    <row r="105" spans="1:7" s="565" customFormat="1" ht="12.75">
      <c r="A105" s="884" t="s">
        <v>529</v>
      </c>
      <c r="B105" s="891">
        <f>'Sources and Uses Budget'!C104</f>
        <v>28015770</v>
      </c>
      <c r="C105" s="891">
        <f>'Sources and Uses Budget'!C104</f>
        <v>28015770</v>
      </c>
      <c r="D105" s="891">
        <f>'Sources and Uses Budget'!C104</f>
        <v>28015770</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0" t="s">
        <v>2152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2085</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17" workbookViewId="0">
      <selection activeCell="D130" sqref="D130:F13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8" t="s">
        <v>2320</v>
      </c>
      <c r="B2" s="1048"/>
      <c r="C2" s="996"/>
      <c r="D2" s="996"/>
      <c r="E2" s="996"/>
      <c r="F2" s="996"/>
      <c r="G2" s="996"/>
      <c r="I2" t="s">
        <v>79</v>
      </c>
    </row>
    <row r="3" spans="1:9" ht="12.75">
      <c r="A3" s="188"/>
      <c r="B3" s="188"/>
      <c r="C3"/>
      <c r="D3"/>
      <c r="E3"/>
      <c r="F3"/>
      <c r="G3"/>
      <c r="I3" s="5" t="s">
        <v>1391</v>
      </c>
    </row>
    <row r="4" spans="1:9" ht="12.75">
      <c r="A4" s="1049" t="s">
        <v>2119</v>
      </c>
      <c r="B4" s="1049"/>
      <c r="C4" s="1050"/>
      <c r="D4" s="1050"/>
      <c r="E4" s="1050"/>
      <c r="F4" s="1050"/>
      <c r="G4" s="1050"/>
      <c r="I4" s="5" t="s">
        <v>1375</v>
      </c>
    </row>
    <row r="5" spans="1:9" ht="12.75">
      <c r="A5" s="1049" t="s">
        <v>1041</v>
      </c>
      <c r="B5" s="1049"/>
      <c r="C5" s="1050"/>
      <c r="D5" s="1050"/>
      <c r="E5" s="1050"/>
      <c r="F5" s="1050"/>
      <c r="G5" s="1050"/>
      <c r="I5" t="s">
        <v>124</v>
      </c>
    </row>
    <row r="6" spans="1:9" ht="13.7" customHeight="1"/>
    <row r="7" spans="1:9" ht="12.75">
      <c r="A7" s="1052" t="s">
        <v>2284</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1540</v>
      </c>
      <c r="B10" s="1038"/>
      <c r="C10" s="1038"/>
      <c r="D10" s="1038"/>
      <c r="E10" s="1038"/>
      <c r="F10" s="1038"/>
      <c r="G10" s="1038"/>
    </row>
    <row r="11" spans="1:9" ht="12.75">
      <c r="A11" s="188"/>
      <c r="B11" s="188"/>
    </row>
    <row r="12" spans="1:9" ht="13.7" customHeight="1">
      <c r="C12" s="188"/>
      <c r="D12" s="1051" t="s">
        <v>1539</v>
      </c>
      <c r="E12" s="1051"/>
      <c r="F12" s="1051"/>
      <c r="G12" s="607"/>
    </row>
    <row r="13" spans="1:9" ht="12.75">
      <c r="C13" s="188"/>
      <c r="D13" s="1051"/>
      <c r="E13" s="1051"/>
      <c r="F13" s="1051"/>
      <c r="G13" s="607"/>
    </row>
    <row r="14" spans="1:9" ht="12.75">
      <c r="A14" s="189"/>
      <c r="B14" s="189"/>
      <c r="C14" s="189"/>
      <c r="D14" s="1004" t="s">
        <v>1413</v>
      </c>
      <c r="E14" s="1004"/>
      <c r="F14" s="1004"/>
    </row>
    <row r="15" spans="1:9" ht="12.75">
      <c r="A15" s="189"/>
      <c r="B15" s="189"/>
      <c r="C15" s="189"/>
    </row>
    <row r="16" spans="1:9" ht="14.45" customHeight="1">
      <c r="A16" s="269"/>
      <c r="B16" s="606" t="s">
        <v>79</v>
      </c>
      <c r="C16" s="189"/>
      <c r="D16" s="977" t="s">
        <v>2050</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2051</v>
      </c>
      <c r="F19" s="24"/>
      <c r="G19" s="351"/>
    </row>
    <row r="20" spans="1:7" ht="12.75">
      <c r="A20" s="189"/>
      <c r="B20" s="189"/>
      <c r="C20" s="189"/>
    </row>
    <row r="21" spans="1:7" ht="14.25">
      <c r="A21" s="269"/>
      <c r="B21" s="606" t="s">
        <v>79</v>
      </c>
      <c r="D21" s="977" t="s">
        <v>2052</v>
      </c>
      <c r="E21" s="985"/>
      <c r="F21" s="985"/>
    </row>
    <row r="22" spans="1:7" ht="12.75">
      <c r="D22" s="985"/>
      <c r="E22" s="985"/>
      <c r="F22" s="985"/>
    </row>
    <row r="23" spans="1:7" ht="12.75">
      <c r="D23" s="100"/>
      <c r="E23" s="102" t="s">
        <v>2053</v>
      </c>
      <c r="F23" s="100"/>
    </row>
    <row r="24" spans="1:7" ht="14.25">
      <c r="A24" s="269"/>
      <c r="B24" s="269"/>
      <c r="D24" s="44"/>
    </row>
    <row r="25" spans="1:7" ht="14.25">
      <c r="A25" s="269"/>
      <c r="B25" s="606" t="s">
        <v>79</v>
      </c>
      <c r="D25" s="985" t="s">
        <v>1407</v>
      </c>
      <c r="E25" s="985"/>
      <c r="F25" s="985"/>
    </row>
    <row r="26" spans="1:7" ht="14.25">
      <c r="A26" s="269"/>
      <c r="B26" s="269"/>
      <c r="D26" s="985"/>
      <c r="E26" s="985"/>
      <c r="F26" s="985"/>
    </row>
    <row r="27" spans="1:7" ht="14.25">
      <c r="A27" s="269"/>
      <c r="B27" s="269"/>
      <c r="D27" s="44"/>
    </row>
    <row r="28" spans="1:7" ht="14.25" customHeight="1">
      <c r="A28" s="269"/>
      <c r="B28" s="606" t="s">
        <v>79</v>
      </c>
      <c r="D28" s="977" t="s">
        <v>2120</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79</v>
      </c>
      <c r="D34" s="985" t="s">
        <v>2121</v>
      </c>
      <c r="E34" s="985"/>
      <c r="F34" s="985"/>
    </row>
    <row r="35" spans="1:6" ht="14.25">
      <c r="A35" s="269"/>
      <c r="B35" s="269"/>
      <c r="D35" s="985"/>
      <c r="E35" s="985"/>
      <c r="F35" s="985"/>
    </row>
    <row r="36" spans="1:6" ht="14.25">
      <c r="A36" s="269"/>
      <c r="B36" s="269"/>
      <c r="D36" s="207"/>
      <c r="E36" s="207"/>
      <c r="F36" s="207"/>
    </row>
    <row r="37" spans="1:6" ht="14.25">
      <c r="A37" s="269"/>
      <c r="B37" s="606" t="s">
        <v>79</v>
      </c>
      <c r="D37" s="977" t="s">
        <v>1745</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79</v>
      </c>
      <c r="D46" s="985" t="s">
        <v>1439</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79</v>
      </c>
      <c r="D52" s="977" t="s">
        <v>1873</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79</v>
      </c>
      <c r="D59" s="977" t="s">
        <v>1915</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79</v>
      </c>
      <c r="D64" s="985" t="s">
        <v>2122</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79</v>
      </c>
      <c r="D68" s="977" t="s">
        <v>2054</v>
      </c>
      <c r="E68" s="985"/>
      <c r="F68" s="985"/>
    </row>
    <row r="69" spans="1:6" ht="12.75">
      <c r="D69" s="985"/>
      <c r="E69" s="985"/>
      <c r="F69" s="985"/>
    </row>
    <row r="70" spans="1:6" ht="12.75">
      <c r="D70" s="985"/>
      <c r="E70" s="985"/>
      <c r="F70" s="985"/>
    </row>
    <row r="71" spans="1:6" ht="14.25">
      <c r="A71" s="269"/>
      <c r="B71" s="269"/>
      <c r="D71" s="207"/>
      <c r="E71" s="126" t="s">
        <v>2051</v>
      </c>
      <c r="F71" s="207"/>
    </row>
    <row r="72" spans="1:6" ht="14.25">
      <c r="A72" s="269"/>
      <c r="B72" s="269"/>
    </row>
    <row r="73" spans="1:6" ht="14.25">
      <c r="A73" s="269"/>
      <c r="B73" s="606" t="s">
        <v>79</v>
      </c>
      <c r="D73" s="985" t="s">
        <v>1538</v>
      </c>
      <c r="E73" s="985"/>
      <c r="F73" s="985"/>
    </row>
    <row r="74" spans="1:6" ht="12.75">
      <c r="D74" s="985"/>
      <c r="E74" s="985"/>
      <c r="F74" s="985"/>
    </row>
    <row r="75" spans="1:6" ht="12.75">
      <c r="D75" s="985"/>
      <c r="E75" s="985"/>
      <c r="F75" s="985"/>
    </row>
    <row r="76" spans="1:6" ht="12.75"/>
    <row r="77" spans="1:6" ht="14.25">
      <c r="A77" s="269" t="s">
        <v>229</v>
      </c>
      <c r="B77" s="606" t="s">
        <v>79</v>
      </c>
      <c r="D77" s="985" t="s">
        <v>1442</v>
      </c>
      <c r="E77" s="985"/>
      <c r="F77" s="985"/>
    </row>
    <row r="78" spans="1:6" ht="12.75">
      <c r="D78" s="985"/>
      <c r="E78" s="985"/>
      <c r="F78" s="985"/>
    </row>
    <row r="79" spans="1:6" ht="12.75"/>
    <row r="80" spans="1:6" ht="14.25">
      <c r="A80" s="269" t="s">
        <v>229</v>
      </c>
      <c r="B80" s="606" t="s">
        <v>79</v>
      </c>
      <c r="D80" s="985" t="s">
        <v>1443</v>
      </c>
      <c r="E80" s="985"/>
      <c r="F80" s="985"/>
    </row>
    <row r="81" spans="1:7" ht="12.75">
      <c r="D81" s="985"/>
      <c r="E81" s="985"/>
      <c r="F81" s="985"/>
    </row>
    <row r="82" spans="1:7" ht="12.75">
      <c r="D82" s="985"/>
      <c r="E82" s="985"/>
      <c r="F82" s="985"/>
    </row>
    <row r="83" spans="1:7" ht="12.75">
      <c r="D83" s="44"/>
    </row>
    <row r="84" spans="1:7" ht="14.25">
      <c r="A84" s="269" t="s">
        <v>229</v>
      </c>
      <c r="B84" s="606" t="s">
        <v>79</v>
      </c>
      <c r="D84" s="985" t="s">
        <v>1444</v>
      </c>
      <c r="E84" s="985"/>
      <c r="F84" s="985"/>
    </row>
    <row r="85" spans="1:7" ht="12.75">
      <c r="D85" s="985"/>
      <c r="E85" s="985"/>
      <c r="F85" s="985"/>
    </row>
    <row r="86" spans="1:7" ht="12.75"/>
    <row r="87" spans="1:7" ht="12.75">
      <c r="A87" s="1038" t="s">
        <v>1379</v>
      </c>
      <c r="B87" s="1038"/>
      <c r="C87" s="1038"/>
      <c r="D87" s="1038"/>
      <c r="E87" s="1038"/>
      <c r="F87" s="1038"/>
      <c r="G87" s="1038"/>
    </row>
    <row r="88" spans="1:7" ht="12.75">
      <c r="E88"/>
      <c r="F88"/>
      <c r="G88"/>
    </row>
    <row r="89" spans="1:7" ht="13.7" customHeight="1">
      <c r="C89" s="587"/>
      <c r="D89" s="1011" t="s">
        <v>1380</v>
      </c>
      <c r="E89" s="1011"/>
      <c r="F89" s="1011"/>
      <c r="G89"/>
    </row>
    <row r="90" spans="1:7" ht="13.7" customHeight="1">
      <c r="A90" s="44"/>
      <c r="B90" s="44"/>
      <c r="D90" s="985" t="s">
        <v>1541</v>
      </c>
      <c r="E90" s="985"/>
      <c r="F90" s="985"/>
      <c r="G90"/>
    </row>
    <row r="91" spans="1:7" ht="12.75">
      <c r="A91" s="44"/>
      <c r="B91" s="44"/>
      <c r="E91"/>
      <c r="F91"/>
      <c r="G91"/>
    </row>
    <row r="92" spans="1:7" ht="14.25" customHeight="1">
      <c r="A92" s="269"/>
      <c r="B92" s="606" t="s">
        <v>79</v>
      </c>
      <c r="D92" s="977" t="s">
        <v>1846</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79</v>
      </c>
      <c r="D101" s="1031" t="s">
        <v>1847</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79</v>
      </c>
      <c r="D114" s="977" t="s">
        <v>1542</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79</v>
      </c>
      <c r="D122" s="977" t="s">
        <v>2296</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79</v>
      </c>
      <c r="D130" s="977" t="s">
        <v>1543</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79</v>
      </c>
      <c r="D136" s="985" t="s">
        <v>1544</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79</v>
      </c>
      <c r="D149" s="977" t="s">
        <v>2325</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1723</v>
      </c>
      <c r="E164" s="1033"/>
      <c r="F164" s="1033"/>
      <c r="G164"/>
    </row>
    <row r="165" spans="1:7" ht="13.9" customHeight="1">
      <c r="A165" s="18"/>
      <c r="B165" s="18"/>
      <c r="D165" s="44"/>
      <c r="G165"/>
    </row>
    <row r="166" spans="1:7" ht="13.9" customHeight="1">
      <c r="A166" s="269"/>
      <c r="B166" s="606" t="s">
        <v>79</v>
      </c>
      <c r="D166" s="1031" t="s">
        <v>2279</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79</v>
      </c>
      <c r="D172" s="1032" t="s">
        <v>1545</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79</v>
      </c>
      <c r="C177" s="367"/>
      <c r="D177" s="1035" t="s">
        <v>2123</v>
      </c>
      <c r="E177" s="1035"/>
      <c r="F177" s="1035"/>
      <c r="G177" s="358"/>
    </row>
    <row r="178" spans="1:7" ht="13.9" customHeight="1">
      <c r="A178" s="367"/>
      <c r="B178" s="367"/>
      <c r="C178" s="367"/>
      <c r="D178" s="1035"/>
      <c r="E178" s="1035"/>
      <c r="F178" s="1035"/>
      <c r="G178" s="358"/>
    </row>
    <row r="179" spans="1:7" ht="13.9" customHeight="1">
      <c r="A179" s="367"/>
      <c r="B179" s="367"/>
      <c r="C179" s="367"/>
      <c r="D179" s="1035"/>
      <c r="E179" s="1035"/>
      <c r="F179" s="1035"/>
      <c r="G179" s="358"/>
    </row>
    <row r="180" spans="1:7" ht="12.75">
      <c r="A180" s="367"/>
      <c r="B180" s="367"/>
      <c r="C180" s="367"/>
      <c r="D180" s="369"/>
      <c r="E180" s="358"/>
      <c r="F180" s="358"/>
      <c r="G180" s="358"/>
    </row>
    <row r="181" spans="1:7" ht="12.75">
      <c r="A181" s="1038" t="s">
        <v>1382</v>
      </c>
      <c r="B181" s="1038"/>
      <c r="C181" s="1038"/>
      <c r="D181" s="1038"/>
      <c r="E181" s="1038"/>
      <c r="F181" s="1038"/>
      <c r="G181" s="1038"/>
    </row>
    <row r="182" spans="1:7" ht="12.75">
      <c r="D182" s="44"/>
    </row>
    <row r="183" spans="1:7" ht="12.75">
      <c r="C183" s="587"/>
      <c r="D183" s="1034" t="s">
        <v>1381</v>
      </c>
      <c r="E183" s="1034"/>
      <c r="F183" s="1034"/>
    </row>
    <row r="184" spans="1:7" ht="12.75">
      <c r="A184" s="188"/>
      <c r="B184" s="188"/>
      <c r="C184" s="188"/>
      <c r="D184" s="1036" t="s">
        <v>1414</v>
      </c>
      <c r="E184" s="1036"/>
      <c r="F184" s="1036"/>
    </row>
    <row r="185" spans="1:7" ht="12.75">
      <c r="A185" s="189"/>
      <c r="B185" s="189"/>
      <c r="C185" s="189"/>
    </row>
    <row r="186" spans="1:7" ht="14.25">
      <c r="A186" s="269"/>
      <c r="B186" s="606" t="s">
        <v>79</v>
      </c>
      <c r="D186" s="1037" t="s">
        <v>1725</v>
      </c>
      <c r="E186" s="1014"/>
      <c r="F186" s="1014"/>
    </row>
    <row r="187" spans="1:7" ht="14.25">
      <c r="A187" s="269"/>
      <c r="D187" s="310"/>
      <c r="E187" s="100"/>
      <c r="F187" s="100"/>
    </row>
    <row r="188" spans="1:7" ht="14.25">
      <c r="A188" s="269"/>
      <c r="B188" s="606" t="s">
        <v>79</v>
      </c>
      <c r="D188" s="1014" t="s">
        <v>1546</v>
      </c>
      <c r="E188" s="1014"/>
      <c r="F188" s="1014"/>
    </row>
    <row r="189" spans="1:7" ht="14.25">
      <c r="A189" s="269"/>
      <c r="D189" s="100"/>
      <c r="E189" s="100"/>
      <c r="F189" s="100"/>
    </row>
    <row r="190" spans="1:7" ht="14.25">
      <c r="A190" s="269"/>
      <c r="B190" s="606" t="s">
        <v>79</v>
      </c>
      <c r="D190" s="1039" t="s">
        <v>1799</v>
      </c>
      <c r="E190" s="1039"/>
      <c r="F190" s="1039"/>
    </row>
    <row r="191" spans="1:7" ht="13.7" customHeight="1">
      <c r="A191" s="269"/>
      <c r="D191" s="41" t="s">
        <v>900</v>
      </c>
      <c r="E191" s="977" t="s">
        <v>2118</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901</v>
      </c>
      <c r="E195" s="977" t="s">
        <v>1800</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79</v>
      </c>
      <c r="D203" s="977" t="s">
        <v>2280</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2319</v>
      </c>
      <c r="E207" s="1033"/>
      <c r="F207" s="1033"/>
    </row>
    <row r="208" spans="1:6" ht="12.75">
      <c r="D208" s="622"/>
      <c r="E208" s="622"/>
      <c r="F208" s="622"/>
    </row>
    <row r="209" spans="1:7" ht="14.25">
      <c r="A209" s="269"/>
      <c r="B209" s="606" t="s">
        <v>79</v>
      </c>
      <c r="D209" s="1006" t="s">
        <v>2281</v>
      </c>
      <c r="E209" s="1004"/>
      <c r="F209" s="1004"/>
    </row>
    <row r="210" spans="1:7" ht="12.75"/>
    <row r="211" spans="1:7" ht="12.75">
      <c r="A211" s="1038" t="s">
        <v>1384</v>
      </c>
      <c r="B211" s="1038"/>
      <c r="C211" s="1038"/>
      <c r="D211" s="1038"/>
      <c r="E211" s="1038"/>
      <c r="F211" s="1038"/>
      <c r="G211" s="1038"/>
    </row>
    <row r="212" spans="1:7" ht="12.75"/>
    <row r="213" spans="1:7" ht="12.75">
      <c r="C213" s="588"/>
      <c r="D213" s="1034" t="s">
        <v>1383</v>
      </c>
      <c r="E213" s="1034"/>
      <c r="F213" s="1034"/>
    </row>
    <row r="214" spans="1:7" ht="12.75">
      <c r="A214" s="589"/>
      <c r="B214" s="589"/>
      <c r="C214" s="588"/>
      <c r="D214" s="1034" t="s">
        <v>697</v>
      </c>
      <c r="E214" s="1034"/>
      <c r="F214" s="1034"/>
    </row>
    <row r="215" spans="1:7" ht="12.75">
      <c r="A215" s="188"/>
      <c r="B215" s="188"/>
      <c r="C215" s="188"/>
      <c r="D215" s="1014" t="s">
        <v>1415</v>
      </c>
      <c r="E215" s="1014"/>
      <c r="F215" s="1014"/>
    </row>
    <row r="216" spans="1:7" ht="12.75">
      <c r="A216" s="188"/>
      <c r="B216" s="188"/>
      <c r="C216" s="188"/>
    </row>
    <row r="217" spans="1:7" ht="12.75">
      <c r="A217" s="188"/>
      <c r="B217" s="188"/>
      <c r="C217" s="188"/>
      <c r="D217" s="985" t="s">
        <v>1425</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2124</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79</v>
      </c>
      <c r="C229" s="189"/>
      <c r="D229" s="1004" t="s">
        <v>292</v>
      </c>
      <c r="E229" s="1004"/>
      <c r="F229" s="1004"/>
    </row>
    <row r="230" spans="1:6" ht="14.25">
      <c r="A230" s="269"/>
      <c r="C230" s="189"/>
      <c r="D230" s="1014" t="s">
        <v>1111</v>
      </c>
      <c r="E230" s="1014"/>
      <c r="F230" s="1014"/>
    </row>
    <row r="231" spans="1:6" ht="14.25">
      <c r="A231" s="269"/>
      <c r="B231" s="269"/>
      <c r="C231" s="189"/>
      <c r="D231" s="102" t="s">
        <v>1429</v>
      </c>
      <c r="E231" s="1044" t="s">
        <v>2055</v>
      </c>
      <c r="F231" s="1044"/>
    </row>
    <row r="232" spans="1:6" ht="12.75">
      <c r="D232" s="1037" t="s">
        <v>1408</v>
      </c>
      <c r="E232" s="1014"/>
      <c r="F232" s="1014"/>
    </row>
    <row r="233" spans="1:6" ht="12.75"/>
    <row r="234" spans="1:6" ht="12.75">
      <c r="B234" s="606" t="s">
        <v>79</v>
      </c>
      <c r="D234" s="982" t="s">
        <v>2306</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79</v>
      </c>
      <c r="D239" s="1014" t="s">
        <v>293</v>
      </c>
      <c r="E239" s="1014"/>
      <c r="F239" s="1014"/>
    </row>
    <row r="240" spans="1:6" ht="14.25">
      <c r="A240" s="269"/>
      <c r="D240" s="1004" t="s">
        <v>1111</v>
      </c>
      <c r="E240" s="1004"/>
      <c r="F240" s="1004"/>
    </row>
    <row r="241" spans="1:6" ht="14.25">
      <c r="A241" s="269"/>
      <c r="B241" s="269"/>
      <c r="D241" s="63" t="s">
        <v>1430</v>
      </c>
      <c r="E241" s="1044" t="s">
        <v>2056</v>
      </c>
      <c r="F241" s="1044"/>
    </row>
    <row r="242" spans="1:6" ht="12.75">
      <c r="D242" s="1014" t="s">
        <v>1409</v>
      </c>
      <c r="E242" s="1014"/>
      <c r="F242" s="1014"/>
    </row>
    <row r="243" spans="1:6" ht="12.75"/>
    <row r="244" spans="1:6" ht="14.25">
      <c r="A244" s="269"/>
      <c r="B244" s="606" t="s">
        <v>79</v>
      </c>
      <c r="D244" s="1014" t="s">
        <v>641</v>
      </c>
      <c r="E244" s="1014"/>
      <c r="F244" s="1014"/>
    </row>
    <row r="245" spans="1:6" ht="14.25">
      <c r="A245" s="269"/>
      <c r="D245" s="44" t="s">
        <v>1111</v>
      </c>
    </row>
    <row r="246" spans="1:6" ht="14.25">
      <c r="A246" s="269"/>
      <c r="B246" s="269"/>
      <c r="D246" s="63" t="s">
        <v>1429</v>
      </c>
      <c r="E246" s="1044" t="s">
        <v>2057</v>
      </c>
      <c r="F246" s="1044"/>
    </row>
    <row r="247" spans="1:6" ht="14.25">
      <c r="A247" s="269"/>
      <c r="B247" s="269"/>
      <c r="D247" s="985" t="s">
        <v>1431</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1410</v>
      </c>
      <c r="E252" s="985"/>
      <c r="F252" s="985"/>
    </row>
    <row r="253" spans="1:6" ht="12.75">
      <c r="D253" s="44"/>
    </row>
    <row r="254" spans="1:6" ht="14.25">
      <c r="A254" s="269"/>
      <c r="B254" s="606" t="s">
        <v>79</v>
      </c>
      <c r="D254" s="1014" t="s">
        <v>642</v>
      </c>
      <c r="E254" s="1014"/>
      <c r="F254" s="1014"/>
    </row>
    <row r="255" spans="1:6" ht="14.25">
      <c r="A255" s="269"/>
      <c r="D255" s="1014" t="s">
        <v>1111</v>
      </c>
      <c r="E255" s="1014"/>
      <c r="F255" s="1014"/>
    </row>
    <row r="256" spans="1:6" ht="14.25">
      <c r="A256" s="269"/>
      <c r="B256" s="269"/>
      <c r="D256" s="63" t="s">
        <v>1429</v>
      </c>
      <c r="E256" s="1044" t="s">
        <v>2058</v>
      </c>
      <c r="F256" s="1044"/>
    </row>
    <row r="257" spans="1:7" ht="12.75">
      <c r="D257" s="1037" t="s">
        <v>1919</v>
      </c>
      <c r="E257" s="1014"/>
      <c r="F257" s="1014"/>
    </row>
    <row r="258" spans="1:7" ht="12.75">
      <c r="D258" s="100"/>
      <c r="E258" s="100"/>
      <c r="F258" s="100"/>
    </row>
    <row r="259" spans="1:7" ht="14.25">
      <c r="A259" s="269"/>
      <c r="B259" s="606" t="s">
        <v>79</v>
      </c>
      <c r="D259" s="1037" t="s">
        <v>1918</v>
      </c>
      <c r="E259" s="1014"/>
      <c r="F259" s="1014"/>
    </row>
    <row r="260" spans="1:7" ht="14.25">
      <c r="A260" s="269"/>
      <c r="D260" s="1014" t="s">
        <v>1111</v>
      </c>
      <c r="E260" s="1014"/>
      <c r="F260" s="1014"/>
    </row>
    <row r="261" spans="1:7" ht="14.25">
      <c r="A261" s="269"/>
      <c r="B261" s="269"/>
      <c r="D261" s="63" t="s">
        <v>1429</v>
      </c>
      <c r="E261" s="1044" t="s">
        <v>2059</v>
      </c>
      <c r="F261" s="1044"/>
    </row>
    <row r="262" spans="1:7" ht="12.75">
      <c r="D262" s="1037" t="s">
        <v>1920</v>
      </c>
      <c r="E262" s="1014"/>
      <c r="F262" s="1014"/>
    </row>
    <row r="263" spans="1:7" ht="12.75">
      <c r="D263" s="44"/>
    </row>
    <row r="264" spans="1:7" ht="14.25">
      <c r="A264" s="269"/>
      <c r="B264" s="606" t="s">
        <v>79</v>
      </c>
      <c r="D264" s="100" t="s">
        <v>1451</v>
      </c>
      <c r="E264" s="100"/>
      <c r="F264" s="100"/>
    </row>
    <row r="265" spans="1:7" ht="14.25">
      <c r="A265" s="269"/>
      <c r="B265"/>
      <c r="D265" s="977" t="s">
        <v>2302</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79</v>
      </c>
      <c r="D269" s="1014" t="s">
        <v>1022</v>
      </c>
      <c r="E269" s="1014"/>
      <c r="F269" s="1014"/>
    </row>
    <row r="270" spans="1:7" ht="14.25">
      <c r="A270" s="269"/>
      <c r="D270" s="100"/>
      <c r="E270" s="100"/>
      <c r="F270" s="100"/>
    </row>
    <row r="271" spans="1:7" ht="12.75">
      <c r="A271" s="1038" t="s">
        <v>1386</v>
      </c>
      <c r="B271" s="1038"/>
      <c r="C271" s="1038"/>
      <c r="D271" s="1038"/>
      <c r="E271" s="1038"/>
      <c r="F271" s="1038"/>
      <c r="G271" s="1038"/>
    </row>
    <row r="272" spans="1:7" ht="12.75">
      <c r="D272" s="44"/>
    </row>
    <row r="273" spans="1:7" ht="12.75">
      <c r="C273" s="587"/>
      <c r="D273" s="1005" t="s">
        <v>1385</v>
      </c>
      <c r="E273" s="1005"/>
      <c r="F273" s="1005"/>
    </row>
    <row r="274" spans="1:7" ht="12.75">
      <c r="A274" s="188"/>
      <c r="B274" s="188"/>
      <c r="C274" s="188"/>
      <c r="D274" s="1004" t="s">
        <v>1416</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79</v>
      </c>
      <c r="C277" s="877"/>
      <c r="D277" s="1025" t="s">
        <v>1995</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79</v>
      </c>
      <c r="C282" s="877"/>
      <c r="D282" s="1025" t="s">
        <v>1996</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1555</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79</v>
      </c>
      <c r="C294" s="795"/>
      <c r="D294" s="1027" t="s">
        <v>1913</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79</v>
      </c>
      <c r="D299" s="1004" t="s">
        <v>1112</v>
      </c>
      <c r="E299" s="1004"/>
      <c r="F299" s="1004"/>
      <c r="G299"/>
    </row>
    <row r="300" spans="1:7" ht="14.25">
      <c r="A300" s="269"/>
      <c r="B300" s="269"/>
      <c r="D300" s="1004" t="s">
        <v>1556</v>
      </c>
      <c r="E300" s="1004"/>
      <c r="F300" s="1004"/>
      <c r="G300"/>
    </row>
    <row r="301" spans="1:7" ht="14.25">
      <c r="A301" s="269"/>
      <c r="B301" s="269"/>
      <c r="D301" s="3" t="s">
        <v>1042</v>
      </c>
      <c r="E301" s="923" t="s">
        <v>2061</v>
      </c>
      <c r="F301" s="3"/>
    </row>
    <row r="302" spans="1:7" ht="12.75">
      <c r="D302" s="28"/>
    </row>
    <row r="303" spans="1:7" ht="14.25">
      <c r="A303" s="269"/>
      <c r="B303" s="606" t="s">
        <v>79</v>
      </c>
      <c r="D303" s="985" t="s">
        <v>1557</v>
      </c>
      <c r="E303" s="985"/>
      <c r="F303" s="985"/>
    </row>
    <row r="304" spans="1:7" ht="14.25">
      <c r="A304" s="269"/>
      <c r="B304" s="269"/>
      <c r="D304" s="985"/>
      <c r="E304" s="985"/>
      <c r="F304" s="985"/>
    </row>
    <row r="305" spans="1:7" ht="12.75">
      <c r="D305" s="28"/>
    </row>
    <row r="306" spans="1:7" ht="12.75">
      <c r="A306" s="1038" t="s">
        <v>1388</v>
      </c>
      <c r="B306" s="1038"/>
      <c r="C306" s="1038"/>
      <c r="D306" s="1038"/>
      <c r="E306" s="1038"/>
      <c r="F306" s="1038"/>
      <c r="G306" s="1038"/>
    </row>
    <row r="307" spans="1:7" ht="12.75">
      <c r="D307" s="28"/>
    </row>
    <row r="308" spans="1:7" ht="12.75">
      <c r="C308" s="587"/>
      <c r="D308" s="1005" t="s">
        <v>1387</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79</v>
      </c>
      <c r="D311" s="977" t="s">
        <v>1870</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79</v>
      </c>
      <c r="C315" s="795"/>
      <c r="D315" s="1027" t="s">
        <v>1914</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2062</v>
      </c>
      <c r="F318" s="370"/>
      <c r="G318" s="796"/>
    </row>
    <row r="319" spans="1:7" ht="12.75">
      <c r="D319" s="210"/>
    </row>
    <row r="320" spans="1:7" ht="12.75">
      <c r="A320" s="1038" t="s">
        <v>1389</v>
      </c>
      <c r="B320" s="1038"/>
      <c r="C320" s="1038"/>
      <c r="D320" s="1038"/>
      <c r="E320" s="1038"/>
      <c r="F320" s="1038"/>
      <c r="G320" s="1038"/>
    </row>
    <row r="321" spans="1:7" ht="12.75">
      <c r="D321" s="210"/>
    </row>
    <row r="322" spans="1:7" ht="12.75">
      <c r="C322" s="188"/>
      <c r="D322" s="1011" t="s">
        <v>1558</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1559</v>
      </c>
      <c r="E326" s="1029"/>
      <c r="F326" s="1029"/>
    </row>
    <row r="327" spans="1:7" ht="12" customHeight="1"/>
    <row r="328" spans="1:7" ht="14.45" customHeight="1">
      <c r="A328" s="269"/>
      <c r="B328" s="606" t="s">
        <v>79</v>
      </c>
      <c r="D328" s="985" t="s">
        <v>1560</v>
      </c>
      <c r="E328" s="985"/>
      <c r="F328" s="985"/>
    </row>
    <row r="329" spans="1:7" ht="14.25">
      <c r="A329" s="269"/>
      <c r="B329" s="269"/>
      <c r="D329" s="985"/>
      <c r="E329" s="985"/>
      <c r="F329" s="985"/>
    </row>
    <row r="330" spans="1:7" ht="12.75"/>
    <row r="331" spans="1:7" ht="14.45" customHeight="1">
      <c r="A331" s="269"/>
      <c r="B331" s="606" t="s">
        <v>79</v>
      </c>
      <c r="D331" s="985" t="s">
        <v>1561</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79</v>
      </c>
      <c r="D335" s="985" t="s">
        <v>1562</v>
      </c>
      <c r="E335" s="985"/>
      <c r="F335" s="985"/>
    </row>
    <row r="336" spans="1:7" ht="14.25">
      <c r="A336" s="269"/>
      <c r="B336" s="269"/>
      <c r="D336" s="985"/>
      <c r="E336" s="985"/>
      <c r="F336" s="985"/>
    </row>
    <row r="337" spans="1:7" ht="12.75">
      <c r="A337" s="18"/>
      <c r="B337" s="18"/>
      <c r="D337" s="44"/>
    </row>
    <row r="338" spans="1:7" ht="12.75">
      <c r="A338" s="1038" t="s">
        <v>1376</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1417</v>
      </c>
      <c r="E341" s="1004"/>
      <c r="F341" s="1004"/>
      <c r="G341"/>
    </row>
    <row r="342" spans="1:7" ht="12.75">
      <c r="C342" s="18"/>
      <c r="D342" s="180"/>
      <c r="G342"/>
    </row>
    <row r="343" spans="1:7" ht="12.75">
      <c r="B343" s="606" t="s">
        <v>79</v>
      </c>
      <c r="D343" s="1004" t="s">
        <v>1563</v>
      </c>
      <c r="E343" s="1004"/>
      <c r="F343" s="1004"/>
      <c r="G343"/>
    </row>
    <row r="344" spans="1:7" ht="14.25">
      <c r="A344" s="269"/>
      <c r="B344" s="269"/>
      <c r="D344" s="417"/>
      <c r="G344"/>
    </row>
    <row r="345" spans="1:7" ht="14.25">
      <c r="A345" s="269"/>
      <c r="B345" s="606" t="s">
        <v>79</v>
      </c>
      <c r="D345" s="1004" t="s">
        <v>1564</v>
      </c>
      <c r="E345" s="1004"/>
      <c r="F345" s="1004"/>
      <c r="G345"/>
    </row>
    <row r="346" spans="1:7" ht="12.75">
      <c r="G346"/>
    </row>
    <row r="347" spans="1:7" ht="14.45" customHeight="1">
      <c r="A347" s="269"/>
      <c r="B347" s="606" t="s">
        <v>79</v>
      </c>
      <c r="D347" s="985" t="s">
        <v>1570</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79</v>
      </c>
      <c r="D363" s="985" t="s">
        <v>1565</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79</v>
      </c>
      <c r="D373" s="980" t="s">
        <v>2063</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2064</v>
      </c>
      <c r="F378" s="207"/>
    </row>
    <row r="379" spans="1:6" ht="13.5" thickBot="1">
      <c r="D379" s="774"/>
      <c r="E379" s="97"/>
      <c r="F379" s="97"/>
    </row>
    <row r="380" spans="1:6" ht="14.25" thickTop="1" thickBot="1">
      <c r="D380" s="1053" t="s">
        <v>1266</v>
      </c>
      <c r="E380" s="1053"/>
      <c r="F380" s="1053"/>
    </row>
    <row r="381" spans="1:6" ht="13.5" thickTop="1">
      <c r="D381" s="1054" t="s">
        <v>1566</v>
      </c>
      <c r="E381" s="1054"/>
      <c r="F381" s="1054"/>
    </row>
    <row r="382" spans="1:6" ht="12.75">
      <c r="D382" s="44"/>
    </row>
    <row r="383" spans="1:6" ht="14.25">
      <c r="A383" s="269"/>
      <c r="B383" s="606" t="s">
        <v>79</v>
      </c>
      <c r="C383" s="358"/>
      <c r="D383" s="1021" t="s">
        <v>2125</v>
      </c>
      <c r="E383" s="1021"/>
      <c r="F383" s="1021"/>
    </row>
    <row r="384" spans="1:6" ht="14.25">
      <c r="A384" s="269"/>
      <c r="B384" s="269"/>
      <c r="C384" s="358"/>
      <c r="D384" s="417"/>
    </row>
    <row r="385" spans="1:6" ht="14.25">
      <c r="A385" s="269"/>
      <c r="B385" s="606" t="s">
        <v>79</v>
      </c>
      <c r="C385" s="358"/>
      <c r="D385" s="992" t="s">
        <v>2126</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79</v>
      </c>
      <c r="C396" s="358"/>
      <c r="D396" s="1041" t="s">
        <v>1567</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1568</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1571</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79</v>
      </c>
      <c r="C429" s="358"/>
      <c r="D429" s="1041" t="s">
        <v>1569</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79</v>
      </c>
      <c r="C432" s="358"/>
      <c r="D432" s="1031" t="s">
        <v>1867</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79</v>
      </c>
      <c r="C438" s="358"/>
      <c r="D438" s="1031" t="s">
        <v>1848</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1863</v>
      </c>
      <c r="E442" s="1060"/>
      <c r="F442" s="1060"/>
    </row>
    <row r="443" spans="1:6" ht="12.75">
      <c r="D443" s="44"/>
    </row>
    <row r="444" spans="1:6" ht="14.45" customHeight="1">
      <c r="A444" s="269"/>
      <c r="B444" s="606" t="s">
        <v>79</v>
      </c>
      <c r="C444" s="205"/>
      <c r="D444" s="977" t="s">
        <v>2298</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79</v>
      </c>
      <c r="C476" s="205"/>
      <c r="D476" s="1006" t="s">
        <v>2066</v>
      </c>
      <c r="E476" s="1004"/>
      <c r="F476" s="1004"/>
    </row>
    <row r="477" spans="1:6" ht="12.75">
      <c r="D477"/>
      <c r="E477" s="924" t="s">
        <v>2065</v>
      </c>
      <c r="F477" s="924"/>
    </row>
    <row r="478" spans="1:6" ht="13.7" customHeight="1">
      <c r="D478" s="977" t="s">
        <v>1845</v>
      </c>
      <c r="E478" s="985"/>
      <c r="F478" s="985"/>
    </row>
    <row r="479" spans="1:6" ht="13.7" customHeight="1">
      <c r="D479" s="985"/>
      <c r="E479" s="985"/>
      <c r="F479" s="985"/>
    </row>
    <row r="480" spans="1:6" ht="12.75">
      <c r="D480" s="44"/>
    </row>
    <row r="481" spans="1:6" ht="14.45" customHeight="1">
      <c r="A481" s="269"/>
      <c r="B481" s="606" t="s">
        <v>79</v>
      </c>
      <c r="C481" s="205"/>
      <c r="D481" s="977" t="s">
        <v>2299</v>
      </c>
      <c r="E481" s="985"/>
      <c r="F481" s="985"/>
    </row>
    <row r="482" spans="1:6" ht="12.75">
      <c r="D482" s="985"/>
      <c r="E482" s="985"/>
      <c r="F482" s="985"/>
    </row>
    <row r="483" spans="1:6" ht="12.75">
      <c r="D483" s="985"/>
      <c r="E483" s="985"/>
      <c r="F483" s="985"/>
    </row>
    <row r="484" spans="1:6" ht="12.75">
      <c r="D484" s="24"/>
      <c r="E484" s="24"/>
      <c r="F484" s="24"/>
    </row>
    <row r="485" spans="1:6" ht="14.25">
      <c r="B485" s="606" t="s">
        <v>79</v>
      </c>
      <c r="C485" s="269"/>
      <c r="D485" s="977" t="s">
        <v>1712</v>
      </c>
      <c r="E485" s="985"/>
      <c r="F485" s="985"/>
    </row>
    <row r="486" spans="1:6" ht="12.75">
      <c r="D486" s="985"/>
      <c r="E486" s="985"/>
      <c r="F486" s="985"/>
    </row>
    <row r="487" spans="1:6" ht="12.75">
      <c r="D487" s="44"/>
      <c r="E487" s="44"/>
    </row>
    <row r="488" spans="1:6" ht="14.25">
      <c r="B488" s="606" t="s">
        <v>79</v>
      </c>
      <c r="C488" s="269"/>
      <c r="D488" s="985" t="s">
        <v>1572</v>
      </c>
      <c r="E488" s="985"/>
      <c r="F488" s="985"/>
    </row>
    <row r="489" spans="1:6" ht="12.75">
      <c r="D489" s="985"/>
      <c r="E489" s="985"/>
      <c r="F489" s="985"/>
    </row>
    <row r="490" spans="1:6" ht="12.75">
      <c r="D490" s="985"/>
      <c r="E490" s="985"/>
      <c r="F490" s="985"/>
    </row>
    <row r="491" spans="1:6" ht="12.75">
      <c r="D491" s="985"/>
      <c r="E491" s="985"/>
      <c r="F491" s="985"/>
    </row>
    <row r="492" spans="1:6" ht="12.75">
      <c r="B492" s="606" t="s">
        <v>79</v>
      </c>
      <c r="D492" s="985"/>
      <c r="E492" s="985"/>
      <c r="F492" s="985"/>
    </row>
    <row r="493" spans="1:6" ht="12.75">
      <c r="D493" s="985"/>
      <c r="E493" s="985"/>
      <c r="F493" s="985"/>
    </row>
    <row r="494" spans="1:6" ht="12.75">
      <c r="D494" s="985"/>
      <c r="E494" s="985"/>
      <c r="F494" s="985"/>
    </row>
    <row r="495" spans="1:6" ht="12.75">
      <c r="B495" s="606" t="s">
        <v>79</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79</v>
      </c>
      <c r="D499" s="985"/>
      <c r="E499" s="985"/>
      <c r="F499" s="985"/>
    </row>
    <row r="500" spans="1:7" ht="12.75">
      <c r="D500" s="985"/>
      <c r="E500" s="985"/>
      <c r="F500" s="985"/>
    </row>
    <row r="501" spans="1:7" ht="12.75">
      <c r="B501" s="606" t="s">
        <v>79</v>
      </c>
      <c r="D501" s="985"/>
      <c r="E501" s="985"/>
      <c r="F501" s="985"/>
    </row>
    <row r="502" spans="1:7" ht="12.75">
      <c r="D502" s="985"/>
      <c r="E502" s="985"/>
      <c r="F502" s="985"/>
    </row>
    <row r="503" spans="1:7" ht="13.7" customHeight="1">
      <c r="B503" s="606" t="s">
        <v>79</v>
      </c>
      <c r="D503" s="985" t="s">
        <v>1573</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79</v>
      </c>
      <c r="D509" s="1004" t="s">
        <v>1418</v>
      </c>
      <c r="E509" s="1004"/>
      <c r="F509" s="1004"/>
    </row>
    <row r="510" spans="1:7" ht="12.75">
      <c r="A510" s="44"/>
      <c r="B510" s="44"/>
    </row>
    <row r="511" spans="1:7" ht="12.75">
      <c r="A511" s="1038" t="s">
        <v>1377</v>
      </c>
      <c r="B511" s="1038"/>
      <c r="C511" s="1038"/>
      <c r="D511" s="1038"/>
      <c r="E511" s="1038"/>
      <c r="F511" s="1038"/>
      <c r="G511" s="1038"/>
    </row>
    <row r="512" spans="1:7" ht="12.75">
      <c r="A512" s="44"/>
      <c r="B512" s="44"/>
    </row>
    <row r="513" spans="1:7" ht="12.75">
      <c r="D513" s="1055" t="s">
        <v>1118</v>
      </c>
      <c r="E513" s="1055"/>
      <c r="F513" s="1055"/>
    </row>
    <row r="514" spans="1:7" ht="12.75">
      <c r="D514" s="1021" t="s">
        <v>1411</v>
      </c>
      <c r="E514" s="1021"/>
      <c r="F514" s="1021"/>
    </row>
    <row r="515" spans="1:7" ht="14.25">
      <c r="A515" s="269"/>
      <c r="B515" s="269"/>
      <c r="D515" s="417"/>
    </row>
    <row r="516" spans="1:7" ht="14.25">
      <c r="A516" s="269"/>
      <c r="B516" s="606" t="s">
        <v>79</v>
      </c>
      <c r="D516" s="1041" t="s">
        <v>1574</v>
      </c>
      <c r="E516" s="1041"/>
      <c r="F516" s="1041"/>
    </row>
    <row r="517" spans="1:7" ht="14.25">
      <c r="A517" s="269"/>
      <c r="B517" s="269"/>
      <c r="D517" s="1041"/>
      <c r="E517" s="1041"/>
      <c r="F517" s="1041"/>
    </row>
    <row r="518" spans="1:7" ht="14.25">
      <c r="A518" s="269"/>
      <c r="B518" s="269"/>
      <c r="D518" s="44"/>
    </row>
    <row r="519" spans="1:7" ht="14.25">
      <c r="A519" s="269"/>
      <c r="B519" s="606" t="s">
        <v>79</v>
      </c>
      <c r="D519" s="1056" t="s">
        <v>1864</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79</v>
      </c>
      <c r="D524" s="1004" t="s">
        <v>1576</v>
      </c>
      <c r="E524" s="1004"/>
      <c r="F524" s="1004"/>
      <c r="G524"/>
    </row>
    <row r="525" spans="1:7" ht="12.75">
      <c r="D525" s="44"/>
      <c r="G525"/>
    </row>
    <row r="526" spans="1:7" ht="14.25">
      <c r="A526" s="269"/>
      <c r="B526" s="606" t="s">
        <v>79</v>
      </c>
      <c r="D526" s="985" t="s">
        <v>1577</v>
      </c>
      <c r="E526" s="985"/>
      <c r="F526" s="985"/>
      <c r="G526"/>
    </row>
    <row r="527" spans="1:7" ht="12.75">
      <c r="D527" s="985"/>
      <c r="E527" s="985"/>
      <c r="F527" s="985"/>
      <c r="G527"/>
    </row>
    <row r="528" spans="1:7" ht="12.75">
      <c r="D528" s="417"/>
      <c r="G528"/>
    </row>
    <row r="529" spans="1:7" ht="14.25">
      <c r="A529" s="269"/>
      <c r="B529" s="606" t="s">
        <v>79</v>
      </c>
      <c r="D529" s="1004" t="s">
        <v>1575</v>
      </c>
      <c r="E529" s="1004"/>
      <c r="F529" s="1004"/>
    </row>
    <row r="530" spans="1:7" ht="14.25">
      <c r="A530" s="269"/>
      <c r="B530" s="269"/>
      <c r="D530" s="44"/>
    </row>
    <row r="531" spans="1:7" ht="12.75">
      <c r="A531" s="1038" t="s">
        <v>1378</v>
      </c>
      <c r="B531" s="1038"/>
      <c r="C531" s="1038"/>
      <c r="D531" s="1038"/>
      <c r="E531" s="1038"/>
      <c r="F531" s="1038"/>
      <c r="G531" s="1038"/>
    </row>
    <row r="532" spans="1:7" ht="12" customHeight="1">
      <c r="A532" s="269"/>
      <c r="B532" s="269"/>
      <c r="D532" s="44"/>
    </row>
    <row r="533" spans="1:7" ht="12.75">
      <c r="B533" s="606" t="s">
        <v>79</v>
      </c>
      <c r="C533" s="188"/>
      <c r="D533" s="1012" t="s">
        <v>1521</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79</v>
      </c>
      <c r="C538" s="205"/>
      <c r="D538" s="985" t="s">
        <v>2127</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79</v>
      </c>
      <c r="C541" s="189"/>
      <c r="D541" s="925" t="s">
        <v>2067</v>
      </c>
      <c r="E541" s="926"/>
      <c r="G541"/>
    </row>
    <row r="542" spans="1:7" ht="12.75">
      <c r="A542" s="189"/>
      <c r="B542" s="189"/>
      <c r="C542" s="189"/>
      <c r="D542" s="926"/>
      <c r="E542" s="102" t="s">
        <v>2068</v>
      </c>
      <c r="G542"/>
    </row>
    <row r="543" spans="1:7" ht="14.25">
      <c r="A543" s="269"/>
      <c r="B543"/>
      <c r="D543" s="1041" t="s">
        <v>2128</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1390</v>
      </c>
      <c r="B547" s="1038"/>
      <c r="C547" s="1038"/>
      <c r="D547" s="1038"/>
      <c r="E547" s="1038"/>
      <c r="F547" s="1038"/>
      <c r="G547" s="1038"/>
    </row>
    <row r="548" spans="1:7" ht="12" customHeight="1">
      <c r="A548" s="44"/>
      <c r="B548" s="44"/>
      <c r="C548" s="205"/>
      <c r="E548" s="44"/>
    </row>
    <row r="549" spans="1:7" ht="12.75">
      <c r="C549" s="205"/>
      <c r="D549" s="1005" t="s">
        <v>1419</v>
      </c>
      <c r="E549" s="1005"/>
      <c r="F549" s="1005"/>
    </row>
    <row r="550" spans="1:7" ht="12.75"/>
    <row r="551" spans="1:7" ht="12.75">
      <c r="B551" s="606" t="s">
        <v>79</v>
      </c>
      <c r="D551" s="985" t="s">
        <v>1547</v>
      </c>
      <c r="E551" s="985"/>
      <c r="F551" s="985"/>
    </row>
    <row r="552" spans="1:7" ht="12.75">
      <c r="D552" s="985"/>
      <c r="E552" s="985"/>
      <c r="F552" s="985"/>
    </row>
    <row r="553" spans="1:7" ht="12" customHeight="1">
      <c r="A553" s="205"/>
      <c r="B553" s="205"/>
      <c r="C553" s="205"/>
      <c r="D553" s="44"/>
    </row>
    <row r="554" spans="1:7" ht="14.25">
      <c r="A554" s="269"/>
      <c r="B554" s="606" t="s">
        <v>79</v>
      </c>
      <c r="C554" s="205"/>
      <c r="D554" s="985" t="s">
        <v>1548</v>
      </c>
      <c r="E554" s="985"/>
      <c r="F554" s="985"/>
    </row>
    <row r="555" spans="1:7" ht="12.75">
      <c r="A555" s="205"/>
      <c r="B555" s="205"/>
      <c r="C555" s="205"/>
      <c r="D555" s="985"/>
      <c r="E555" s="985"/>
      <c r="F555" s="985"/>
    </row>
    <row r="556" spans="1:7" ht="12" customHeight="1">
      <c r="A556" s="205"/>
      <c r="B556" s="205"/>
      <c r="C556" s="205"/>
      <c r="D556" s="44"/>
    </row>
    <row r="557" spans="1:7" ht="12.75">
      <c r="A557" s="1016" t="s">
        <v>1426</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1530</v>
      </c>
      <c r="E560" s="1004"/>
      <c r="F560" s="1004"/>
    </row>
    <row r="561" spans="1:7" ht="12.75">
      <c r="C561" s="205"/>
      <c r="D561" s="44"/>
      <c r="E561" s="44"/>
      <c r="F561" s="44"/>
    </row>
    <row r="562" spans="1:7" ht="14.25">
      <c r="A562" s="269"/>
      <c r="B562" s="606" t="s">
        <v>79</v>
      </c>
      <c r="C562" s="205"/>
      <c r="D562" s="1004" t="s">
        <v>1113</v>
      </c>
      <c r="E562" s="1004"/>
      <c r="F562" s="1004"/>
    </row>
    <row r="563" spans="1:7" ht="12" customHeight="1">
      <c r="A563" s="205"/>
      <c r="B563" s="205"/>
      <c r="C563" s="205"/>
      <c r="D563" s="44"/>
      <c r="E563"/>
      <c r="F563"/>
      <c r="G563"/>
    </row>
    <row r="564" spans="1:7" ht="14.45" customHeight="1">
      <c r="A564" s="269"/>
      <c r="B564" s="606" t="s">
        <v>79</v>
      </c>
      <c r="C564" s="205"/>
      <c r="D564" s="985" t="s">
        <v>1529</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79</v>
      </c>
      <c r="C567" s="205"/>
      <c r="D567" s="985" t="s">
        <v>1531</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79</v>
      </c>
      <c r="C570" s="205"/>
      <c r="D570" s="985" t="s">
        <v>1532</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79</v>
      </c>
      <c r="C573" s="205"/>
      <c r="D573" s="985" t="s">
        <v>1533</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79</v>
      </c>
      <c r="C577" s="205"/>
      <c r="D577" s="977" t="s">
        <v>1626</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79</v>
      </c>
      <c r="C580" s="205"/>
      <c r="D580" s="985" t="s">
        <v>1534</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79</v>
      </c>
      <c r="C583" s="205"/>
      <c r="D583" s="1004" t="s">
        <v>1535</v>
      </c>
      <c r="E583" s="1004"/>
      <c r="F583" s="1004"/>
      <c r="G583"/>
    </row>
    <row r="584" spans="1:7" ht="14.25">
      <c r="A584" s="269"/>
      <c r="B584" s="269"/>
      <c r="C584" s="205"/>
      <c r="D584" s="1045" t="s">
        <v>2069</v>
      </c>
      <c r="E584" s="1045"/>
      <c r="F584" s="1045"/>
      <c r="G584"/>
    </row>
    <row r="585" spans="1:7" ht="12.75">
      <c r="A585" s="18"/>
      <c r="B585" s="18"/>
      <c r="C585" s="205"/>
      <c r="D585" s="927"/>
      <c r="E585" s="102" t="s">
        <v>2070</v>
      </c>
      <c r="F585" s="928"/>
      <c r="G585"/>
    </row>
    <row r="586" spans="1:7" ht="15" customHeight="1">
      <c r="A586" s="18"/>
      <c r="B586" s="18"/>
      <c r="C586" s="205"/>
      <c r="D586" s="977" t="s">
        <v>1744</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79</v>
      </c>
      <c r="C596" s="205"/>
      <c r="D596" s="1004" t="s">
        <v>1536</v>
      </c>
      <c r="E596" s="1004"/>
      <c r="F596" s="1004"/>
      <c r="G596"/>
    </row>
    <row r="597" spans="1:7" ht="13.7" customHeight="1">
      <c r="C597" s="205"/>
      <c r="D597" s="985" t="s">
        <v>1537</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79</v>
      </c>
      <c r="C601" s="205"/>
      <c r="D601" s="985" t="s">
        <v>2129</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79</v>
      </c>
      <c r="C606" s="189"/>
      <c r="D606" s="1037" t="s">
        <v>1802</v>
      </c>
      <c r="E606" s="1014"/>
      <c r="F606" s="1014"/>
    </row>
    <row r="607" spans="1:7" ht="12.75">
      <c r="A607" s="189"/>
      <c r="B607" s="189"/>
      <c r="C607" s="189"/>
    </row>
    <row r="608" spans="1:7" ht="12.75">
      <c r="A608" s="205"/>
      <c r="B608" s="205"/>
      <c r="C608" s="205"/>
      <c r="D608" s="24"/>
      <c r="E608" s="24"/>
      <c r="F608" s="24"/>
    </row>
    <row r="609" spans="1:7" ht="12.75">
      <c r="A609" s="1038" t="s">
        <v>1392</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1440</v>
      </c>
      <c r="E612" s="1007"/>
      <c r="F612" s="1007"/>
    </row>
    <row r="613" spans="1:7" ht="12.75">
      <c r="C613" s="188"/>
      <c r="D613" s="368"/>
    </row>
    <row r="614" spans="1:7" ht="14.25">
      <c r="A614" s="269"/>
      <c r="B614" s="606" t="s">
        <v>79</v>
      </c>
      <c r="D614" s="1007" t="s">
        <v>1114</v>
      </c>
      <c r="E614" s="1007"/>
      <c r="F614" s="1007"/>
    </row>
    <row r="615" spans="1:7" ht="12.75">
      <c r="A615" s="18"/>
      <c r="B615" s="18"/>
      <c r="D615" s="358"/>
    </row>
    <row r="616" spans="1:7" ht="14.45" customHeight="1">
      <c r="A616" s="269"/>
      <c r="B616" s="606" t="s">
        <v>79</v>
      </c>
      <c r="D616" s="1007" t="s">
        <v>2130</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79</v>
      </c>
      <c r="D620" s="1007" t="s">
        <v>1441</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79</v>
      </c>
      <c r="D625" s="1007" t="s">
        <v>2131</v>
      </c>
      <c r="E625" s="1007"/>
      <c r="F625" s="1007"/>
    </row>
    <row r="626" spans="1:7" ht="14.25">
      <c r="A626" s="269"/>
      <c r="B626" s="269"/>
      <c r="D626" s="1007"/>
      <c r="E626" s="1007"/>
      <c r="F626" s="1007"/>
    </row>
    <row r="627" spans="1:7" ht="14.25">
      <c r="A627" s="269"/>
      <c r="B627" s="269"/>
      <c r="D627" s="368"/>
    </row>
    <row r="628" spans="1:7" ht="14.45" customHeight="1">
      <c r="A628" s="269"/>
      <c r="B628" s="606" t="s">
        <v>79</v>
      </c>
      <c r="D628" s="1007" t="s">
        <v>1445</v>
      </c>
      <c r="E628" s="1007"/>
      <c r="F628" s="1007"/>
    </row>
    <row r="629" spans="1:7" ht="14.25">
      <c r="A629" s="269"/>
      <c r="B629" s="269"/>
      <c r="D629" s="1007"/>
      <c r="E629" s="1007"/>
      <c r="F629" s="1007"/>
    </row>
    <row r="630" spans="1:7" ht="14.25">
      <c r="A630" s="269"/>
      <c r="B630" s="269"/>
      <c r="D630" s="368"/>
    </row>
    <row r="631" spans="1:7" ht="14.25">
      <c r="A631" s="269"/>
      <c r="B631" s="606" t="s">
        <v>79</v>
      </c>
      <c r="D631" s="1007" t="s">
        <v>1115</v>
      </c>
      <c r="E631" s="1007"/>
      <c r="F631" s="1007"/>
    </row>
    <row r="632" spans="1:7" ht="12.75">
      <c r="A632" s="18"/>
      <c r="B632" s="18"/>
    </row>
    <row r="633" spans="1:7" ht="12.75">
      <c r="A633" s="1038" t="s">
        <v>1394</v>
      </c>
      <c r="B633" s="1038"/>
      <c r="C633" s="1038"/>
      <c r="D633" s="1038"/>
      <c r="E633" s="1038"/>
      <c r="F633" s="1038"/>
      <c r="G633" s="1038"/>
    </row>
    <row r="634" spans="1:7" ht="12.75">
      <c r="A634" s="63"/>
      <c r="B634" s="63"/>
    </row>
    <row r="635" spans="1:7" ht="12.75">
      <c r="C635" s="189"/>
      <c r="D635" s="1034" t="s">
        <v>1393</v>
      </c>
      <c r="E635" s="1034"/>
      <c r="F635" s="1034"/>
    </row>
    <row r="636" spans="1:7" ht="12.75">
      <c r="C636" s="189"/>
      <c r="D636" s="1014" t="s">
        <v>1420</v>
      </c>
      <c r="E636" s="1014"/>
      <c r="F636" s="1014"/>
    </row>
    <row r="637" spans="1:7" ht="12.75">
      <c r="C637" s="189"/>
      <c r="D637" s="100"/>
      <c r="E637" s="100"/>
      <c r="F637" s="100"/>
    </row>
    <row r="638" spans="1:7" ht="14.25" customHeight="1">
      <c r="A638" s="269"/>
      <c r="B638" s="606" t="s">
        <v>79</v>
      </c>
      <c r="D638" s="1057" t="s">
        <v>2072</v>
      </c>
      <c r="E638" s="1058"/>
      <c r="F638" s="1058"/>
    </row>
    <row r="639" spans="1:7" ht="12.75">
      <c r="D639" s="1058"/>
      <c r="E639" s="1058"/>
      <c r="F639" s="1058"/>
    </row>
    <row r="640" spans="1:7" ht="12.75">
      <c r="D640" s="929"/>
      <c r="E640" s="923" t="s">
        <v>2071</v>
      </c>
      <c r="F640" s="929"/>
    </row>
    <row r="641" spans="1:7" ht="12.75">
      <c r="D641" s="929"/>
      <c r="E641" s="923"/>
      <c r="F641" s="929"/>
    </row>
    <row r="642" spans="1:7" ht="12.75">
      <c r="B642" s="606" t="s">
        <v>79</v>
      </c>
      <c r="D642" s="1057" t="s">
        <v>2305</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1396</v>
      </c>
      <c r="B648" s="1038"/>
      <c r="C648" s="1038"/>
      <c r="D648" s="1038"/>
      <c r="E648" s="1038"/>
      <c r="F648" s="1038"/>
      <c r="G648" s="1038"/>
    </row>
    <row r="649" spans="1:7" ht="12.75">
      <c r="A649" s="44"/>
      <c r="B649" s="44"/>
    </row>
    <row r="650" spans="1:7" ht="12.75">
      <c r="C650" s="188"/>
      <c r="D650" s="1005" t="s">
        <v>1395</v>
      </c>
      <c r="E650" s="1005"/>
      <c r="F650" s="1005"/>
    </row>
    <row r="651" spans="1:7" ht="12.75">
      <c r="A651" s="189"/>
      <c r="B651" s="189"/>
      <c r="C651" s="189"/>
      <c r="D651" s="1004" t="s">
        <v>1549</v>
      </c>
      <c r="E651" s="1004"/>
      <c r="F651" s="1004"/>
    </row>
    <row r="652" spans="1:7" ht="12.75">
      <c r="A652" s="189"/>
      <c r="B652" s="189"/>
      <c r="C652" s="189"/>
    </row>
    <row r="653" spans="1:7" ht="14.25">
      <c r="A653" s="269"/>
      <c r="B653" s="269"/>
      <c r="D653" s="1034" t="s">
        <v>870</v>
      </c>
      <c r="E653" s="1034"/>
      <c r="F653" s="1034"/>
    </row>
    <row r="654" spans="1:7" ht="14.25">
      <c r="A654" s="269"/>
      <c r="B654" s="606" t="s">
        <v>79</v>
      </c>
      <c r="D654" s="1014" t="s">
        <v>1550</v>
      </c>
      <c r="E654" s="1014"/>
      <c r="F654" s="1014"/>
    </row>
    <row r="655" spans="1:7" ht="14.25">
      <c r="A655" s="269"/>
      <c r="B655" s="269"/>
      <c r="D655" s="44"/>
    </row>
    <row r="656" spans="1:7" ht="14.25">
      <c r="A656" s="269"/>
      <c r="B656" s="606" t="s">
        <v>79</v>
      </c>
      <c r="D656" s="985" t="s">
        <v>1551</v>
      </c>
      <c r="E656" s="985"/>
      <c r="F656" s="985"/>
    </row>
    <row r="657" spans="1:7" ht="14.25">
      <c r="A657" s="269"/>
      <c r="B657" s="269"/>
      <c r="D657" s="985"/>
      <c r="E657" s="985"/>
      <c r="F657" s="985"/>
    </row>
    <row r="658" spans="1:7" ht="14.25">
      <c r="A658" s="269"/>
      <c r="B658" s="269"/>
      <c r="D658" s="44"/>
    </row>
    <row r="659" spans="1:7" ht="14.25">
      <c r="A659" s="269"/>
      <c r="B659" s="606" t="s">
        <v>79</v>
      </c>
      <c r="D659" s="977" t="s">
        <v>1910</v>
      </c>
      <c r="E659" s="977"/>
      <c r="F659" s="977"/>
    </row>
    <row r="660" spans="1:7" ht="13.7" customHeight="1">
      <c r="D660" s="977"/>
      <c r="E660" s="977"/>
      <c r="F660" s="977"/>
    </row>
    <row r="661" spans="1:7" ht="12.75"/>
    <row r="662" spans="1:7" ht="14.25">
      <c r="A662" s="269"/>
      <c r="B662" s="606" t="s">
        <v>79</v>
      </c>
      <c r="D662" s="1014" t="s">
        <v>1552</v>
      </c>
      <c r="E662" s="1014"/>
      <c r="F662" s="1014"/>
    </row>
    <row r="663" spans="1:7" ht="12.75">
      <c r="A663" s="188"/>
      <c r="B663" s="188"/>
      <c r="C663" s="188"/>
    </row>
    <row r="664" spans="1:7" ht="12.75">
      <c r="A664" s="1038" t="s">
        <v>1397</v>
      </c>
      <c r="B664" s="1038"/>
      <c r="C664" s="1038"/>
      <c r="D664" s="1038"/>
      <c r="E664" s="1038"/>
      <c r="F664" s="1038"/>
      <c r="G664" s="1038"/>
    </row>
    <row r="665" spans="1:7" ht="12.75">
      <c r="A665" s="188"/>
      <c r="B665" s="188"/>
      <c r="C665" s="188"/>
    </row>
    <row r="666" spans="1:7" ht="12.75">
      <c r="C666" s="18"/>
      <c r="D666" s="1022" t="s">
        <v>1421</v>
      </c>
      <c r="E666" s="1022"/>
      <c r="F666" s="1022"/>
    </row>
    <row r="667" spans="1:7" ht="12.75">
      <c r="A667" s="18"/>
      <c r="B667" s="18"/>
      <c r="D667" s="3"/>
    </row>
    <row r="668" spans="1:7" ht="14.25" customHeight="1">
      <c r="A668" s="269"/>
      <c r="B668" s="606" t="s">
        <v>79</v>
      </c>
      <c r="D668" s="1057" t="s">
        <v>2132</v>
      </c>
      <c r="E668" s="1057"/>
      <c r="F668" s="1057"/>
    </row>
    <row r="669" spans="1:7" ht="14.25">
      <c r="A669" s="269"/>
      <c r="B669" s="269"/>
      <c r="D669" s="1057"/>
      <c r="E669" s="1057"/>
      <c r="F669" s="1057"/>
    </row>
    <row r="670" spans="1:7" ht="12.75">
      <c r="D670" s="929"/>
      <c r="E670" s="923" t="s">
        <v>2074</v>
      </c>
      <c r="F670" s="929"/>
    </row>
    <row r="671" spans="1:7" ht="12.75">
      <c r="D671" s="982" t="s">
        <v>2073</v>
      </c>
      <c r="E671" s="982"/>
      <c r="F671" s="982"/>
    </row>
    <row r="672" spans="1:7" ht="12.75" customHeight="1">
      <c r="D672" s="982"/>
      <c r="E672" s="982"/>
      <c r="F672" s="982"/>
    </row>
    <row r="673" spans="1:9" ht="12.75">
      <c r="B673"/>
      <c r="D673" s="982"/>
      <c r="E673" s="982"/>
      <c r="F673" s="982"/>
    </row>
    <row r="674" spans="1:9" ht="12.75"/>
    <row r="675" spans="1:9" ht="14.25">
      <c r="A675" s="301"/>
      <c r="B675" s="606" t="s">
        <v>79</v>
      </c>
      <c r="D675" s="1023" t="s">
        <v>1553</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79</v>
      </c>
      <c r="D678" s="1025" t="s">
        <v>1803</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79</v>
      </c>
      <c r="C681" s="205"/>
      <c r="D681" s="1024" t="s">
        <v>1554</v>
      </c>
      <c r="E681" s="1024"/>
      <c r="F681" s="1024"/>
      <c r="G681" s="44"/>
    </row>
    <row r="682" spans="1:9" ht="12.75">
      <c r="A682" s="44"/>
      <c r="B682" s="44"/>
      <c r="C682" s="205"/>
      <c r="D682" s="44"/>
      <c r="E682" s="44"/>
      <c r="F682" s="44"/>
      <c r="G682" s="44"/>
      <c r="H682" s="265"/>
      <c r="I682" s="265"/>
    </row>
    <row r="683" spans="1:9" ht="12.75">
      <c r="A683" s="1038" t="s">
        <v>1399</v>
      </c>
      <c r="B683" s="1038"/>
      <c r="C683" s="1038"/>
      <c r="D683" s="1038"/>
      <c r="E683" s="1038"/>
      <c r="F683" s="1038"/>
      <c r="G683" s="1038"/>
    </row>
    <row r="684" spans="1:9" ht="12.75">
      <c r="A684" s="44"/>
      <c r="B684" s="44"/>
      <c r="C684" s="205"/>
      <c r="D684" s="44"/>
      <c r="E684" s="44"/>
      <c r="F684" s="44"/>
      <c r="G684" s="44"/>
    </row>
    <row r="685" spans="1:9" ht="12.75">
      <c r="C685" s="188"/>
      <c r="D685" s="1005" t="s">
        <v>1398</v>
      </c>
      <c r="E685" s="1005"/>
      <c r="F685" s="1005"/>
      <c r="G685" s="44"/>
    </row>
    <row r="686" spans="1:9" ht="12.75">
      <c r="A686" s="189"/>
      <c r="B686" s="189"/>
      <c r="C686" s="189"/>
      <c r="D686" s="1004" t="s">
        <v>1422</v>
      </c>
      <c r="E686" s="1004"/>
      <c r="F686" s="1004"/>
      <c r="G686" s="44"/>
    </row>
    <row r="687" spans="1:9" ht="12.75">
      <c r="A687" s="189"/>
      <c r="B687" s="189"/>
      <c r="C687" s="189"/>
      <c r="D687" s="44"/>
      <c r="E687" s="44"/>
      <c r="F687" s="44"/>
      <c r="G687" s="44"/>
    </row>
    <row r="688" spans="1:9" ht="14.45" customHeight="1">
      <c r="A688" s="269"/>
      <c r="B688" s="606" t="s">
        <v>79</v>
      </c>
      <c r="C688" s="205"/>
      <c r="D688" s="977" t="s">
        <v>1866</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1438</v>
      </c>
      <c r="E695" s="1008"/>
      <c r="F695" s="1008"/>
      <c r="G695" s="44"/>
    </row>
    <row r="696" spans="1:7" ht="14.25" hidden="1">
      <c r="A696" s="269"/>
      <c r="B696" s="269"/>
      <c r="C696" s="205"/>
      <c r="D696" s="1002" t="s">
        <v>2133</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1865</v>
      </c>
      <c r="E701" s="1026"/>
      <c r="F701" s="1026"/>
      <c r="G701" s="44"/>
    </row>
    <row r="702" spans="1:7" ht="12.75">
      <c r="A702" s="44"/>
      <c r="B702" s="44"/>
      <c r="C702" s="205"/>
      <c r="D702" s="44"/>
      <c r="E702" s="44"/>
      <c r="F702" s="44"/>
      <c r="G702" s="44"/>
    </row>
    <row r="703" spans="1:7" ht="12.75">
      <c r="A703" s="1038" t="s">
        <v>1400</v>
      </c>
      <c r="B703" s="1038"/>
      <c r="C703" s="1038"/>
      <c r="D703" s="1038"/>
      <c r="E703" s="1038"/>
      <c r="F703" s="1038"/>
      <c r="G703" s="1038"/>
    </row>
    <row r="704" spans="1:7" ht="12.75">
      <c r="A704" s="44"/>
      <c r="B704" s="44"/>
      <c r="C704" s="205"/>
      <c r="D704" s="44"/>
      <c r="E704" s="44"/>
      <c r="F704" s="44"/>
      <c r="G704" s="44"/>
    </row>
    <row r="705" spans="1:7" ht="12.75">
      <c r="C705" s="188"/>
      <c r="D705" s="1005" t="s">
        <v>783</v>
      </c>
      <c r="E705" s="1005"/>
      <c r="F705" s="1005"/>
      <c r="G705" s="44"/>
    </row>
    <row r="706" spans="1:7" ht="12.75">
      <c r="A706" s="188"/>
      <c r="B706" s="188"/>
      <c r="C706" s="188"/>
      <c r="D706" s="1005" t="s">
        <v>871</v>
      </c>
      <c r="E706" s="1005"/>
      <c r="F706" s="1005"/>
      <c r="G706" s="44"/>
    </row>
    <row r="707" spans="1:7" ht="12.75">
      <c r="A707" s="189"/>
      <c r="B707" s="189"/>
      <c r="C707" s="189"/>
      <c r="D707" s="1004" t="s">
        <v>1520</v>
      </c>
      <c r="E707" s="1004"/>
      <c r="F707" s="1004"/>
    </row>
    <row r="708" spans="1:7" ht="14.25" customHeight="1">
      <c r="A708" s="189"/>
      <c r="B708" s="189"/>
      <c r="C708" s="189"/>
    </row>
    <row r="709" spans="1:7" ht="14.25">
      <c r="A709" s="269"/>
      <c r="B709" s="606" t="s">
        <v>79</v>
      </c>
      <c r="C709" s="189"/>
      <c r="D709" s="1004" t="s">
        <v>1116</v>
      </c>
      <c r="E709" s="1004"/>
      <c r="F709" s="1004"/>
    </row>
    <row r="710" spans="1:7" ht="12.75">
      <c r="A710" s="189"/>
      <c r="B710" s="189"/>
      <c r="C710" s="189"/>
      <c r="D710" s="1004" t="s">
        <v>1133</v>
      </c>
      <c r="E710" s="1004"/>
      <c r="F710" s="1004"/>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79</v>
      </c>
      <c r="C714" s="189"/>
      <c r="D714" s="985" t="s">
        <v>2134</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79</v>
      </c>
      <c r="C718" s="189"/>
      <c r="D718" s="1004" t="s">
        <v>1174</v>
      </c>
      <c r="E718" s="1004"/>
      <c r="F718" s="1004"/>
    </row>
    <row r="719" spans="1:7" ht="14.25">
      <c r="A719" s="269"/>
      <c r="B719" s="269"/>
      <c r="C719" s="189"/>
      <c r="D719" s="1004" t="s">
        <v>1133</v>
      </c>
      <c r="E719" s="1004"/>
      <c r="F719" s="1004"/>
    </row>
    <row r="720" spans="1:7" ht="12.75">
      <c r="A720" s="189"/>
      <c r="B720" s="189"/>
      <c r="C720" s="189"/>
      <c r="E720" s="1029" t="s">
        <v>2077</v>
      </c>
      <c r="F720" s="1029"/>
    </row>
    <row r="721" spans="1:6" ht="12.75">
      <c r="A721" s="189"/>
      <c r="B721" s="189"/>
      <c r="C721" s="189"/>
      <c r="D721" s="3"/>
    </row>
    <row r="722" spans="1:6" ht="14.25">
      <c r="A722" s="269"/>
      <c r="B722" s="606" t="s">
        <v>79</v>
      </c>
      <c r="C722" s="189"/>
      <c r="D722" s="985" t="s">
        <v>1522</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79</v>
      </c>
      <c r="C729" s="189"/>
      <c r="D729" s="977" t="s">
        <v>1724</v>
      </c>
      <c r="E729" s="985"/>
      <c r="F729" s="985"/>
    </row>
    <row r="730" spans="1:6" ht="12.75">
      <c r="A730" s="189"/>
      <c r="B730" s="189"/>
      <c r="C730" s="189"/>
      <c r="D730" s="985"/>
      <c r="E730" s="985"/>
      <c r="F730" s="985"/>
    </row>
    <row r="731" spans="1:6" ht="12.75">
      <c r="A731" s="189"/>
      <c r="B731" s="189"/>
      <c r="C731" s="189"/>
    </row>
    <row r="732" spans="1:6" ht="14.45" customHeight="1">
      <c r="A732" s="269"/>
      <c r="B732" s="606" t="s">
        <v>79</v>
      </c>
      <c r="C732" s="189"/>
      <c r="D732" s="985" t="s">
        <v>1523</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79</v>
      </c>
      <c r="C745" s="189"/>
      <c r="D745" s="985" t="s">
        <v>1527</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79</v>
      </c>
      <c r="C748" s="189"/>
      <c r="D748" s="985" t="s">
        <v>1528</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79</v>
      </c>
      <c r="C752" s="189"/>
      <c r="D752" s="977" t="s">
        <v>1911</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79</v>
      </c>
      <c r="C756" s="189"/>
      <c r="D756" s="985" t="s">
        <v>1524</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79</v>
      </c>
      <c r="C760" s="189"/>
      <c r="D760" s="985" t="s">
        <v>1526</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79</v>
      </c>
      <c r="C765" s="189"/>
      <c r="D765" s="977" t="s">
        <v>2199</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1525</v>
      </c>
      <c r="E772" s="1028"/>
      <c r="F772" s="1028"/>
      <c r="H772" s="265"/>
      <c r="I772" s="265"/>
    </row>
    <row r="773" spans="1:9" ht="12.75">
      <c r="A773" s="189"/>
      <c r="B773" s="189"/>
      <c r="C773" s="189"/>
      <c r="D773" s="557"/>
      <c r="H773" s="265"/>
      <c r="I773" s="265"/>
    </row>
    <row r="774" spans="1:9" ht="12.75">
      <c r="A774" s="1016" t="s">
        <v>1427</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1446</v>
      </c>
      <c r="E776" s="1011"/>
      <c r="F776" s="1011"/>
      <c r="H776" s="265"/>
      <c r="I776" s="265"/>
    </row>
    <row r="777" spans="1:9" ht="12.75">
      <c r="A777" s="188"/>
      <c r="B777" s="188"/>
      <c r="C777" s="188"/>
      <c r="D777" s="1014" t="s">
        <v>1449</v>
      </c>
      <c r="E777" s="1014"/>
      <c r="F777" s="1014"/>
      <c r="H777" s="265"/>
      <c r="I777" s="265"/>
    </row>
    <row r="778" spans="1:9" ht="12.75">
      <c r="A778" s="189"/>
      <c r="B778" s="189"/>
      <c r="C778" s="189"/>
      <c r="H778" s="265"/>
      <c r="I778" s="265"/>
    </row>
    <row r="779" spans="1:9" ht="14.25" customHeight="1">
      <c r="A779" s="269"/>
      <c r="B779" s="606" t="s">
        <v>79</v>
      </c>
      <c r="D779" s="985" t="s">
        <v>1447</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79</v>
      </c>
      <c r="D786" s="1025" t="s">
        <v>1852</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79</v>
      </c>
      <c r="C791" s="430"/>
      <c r="D791" s="1027" t="s">
        <v>1853</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79</v>
      </c>
      <c r="D795" s="985" t="s">
        <v>1448</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79</v>
      </c>
      <c r="D798" s="977" t="s">
        <v>1746</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1587</v>
      </c>
      <c r="B802" s="1016"/>
      <c r="C802" s="1016"/>
      <c r="D802" s="1016"/>
      <c r="E802" s="1016"/>
      <c r="F802" s="1016"/>
      <c r="G802" s="1016"/>
      <c r="H802" s="265"/>
      <c r="I802" s="265"/>
    </row>
    <row r="803" spans="1:9" ht="12.75">
      <c r="A803" s="63"/>
      <c r="B803" s="63"/>
      <c r="H803" s="265"/>
      <c r="I803" s="265"/>
    </row>
    <row r="804" spans="1:9" ht="13.7" customHeight="1">
      <c r="A804" s="63"/>
      <c r="B804" s="63"/>
      <c r="D804" s="1020" t="s">
        <v>1588</v>
      </c>
      <c r="E804" s="1020"/>
      <c r="F804" s="1020"/>
      <c r="H804" s="265"/>
      <c r="I804" s="265"/>
    </row>
    <row r="805" spans="1:9" ht="12.75">
      <c r="A805" s="63"/>
      <c r="B805" s="63"/>
      <c r="D805" s="1021" t="s">
        <v>1589</v>
      </c>
      <c r="E805" s="1021"/>
      <c r="F805" s="1021"/>
      <c r="H805" s="265"/>
      <c r="I805" s="265"/>
    </row>
    <row r="806" spans="1:9" ht="12.75">
      <c r="A806" s="63"/>
      <c r="B806" s="63"/>
      <c r="D806" s="417"/>
      <c r="E806" s="417"/>
      <c r="F806" s="417"/>
      <c r="H806" s="265"/>
      <c r="I806" s="265"/>
    </row>
    <row r="807" spans="1:9" ht="12.75">
      <c r="A807" s="63"/>
      <c r="B807" s="606" t="s">
        <v>79</v>
      </c>
      <c r="D807" s="1002" t="s">
        <v>1590</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79</v>
      </c>
      <c r="C811" s="188"/>
      <c r="D811" s="1027" t="s">
        <v>2195</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79</v>
      </c>
      <c r="C815" s="205"/>
      <c r="D815" s="1027" t="s">
        <v>1691</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79</v>
      </c>
      <c r="C819" s="205"/>
      <c r="D819" s="1002" t="s">
        <v>1591</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1997</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79</v>
      </c>
      <c r="C828" s="205"/>
      <c r="D828" s="1002" t="s">
        <v>1593</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79</v>
      </c>
      <c r="C835" s="205"/>
      <c r="D835" s="1027" t="s">
        <v>1854</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79</v>
      </c>
      <c r="C841" s="205"/>
      <c r="D841" s="1002" t="s">
        <v>1592</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79</v>
      </c>
      <c r="C846" s="205"/>
      <c r="D846" s="1010" t="s">
        <v>1595</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79</v>
      </c>
      <c r="C853" s="205"/>
      <c r="D853" s="1002" t="s">
        <v>1594</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79</v>
      </c>
      <c r="C856" s="205"/>
      <c r="D856" s="1010" t="s">
        <v>1596</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1871</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1515</v>
      </c>
      <c r="E861" s="1011"/>
      <c r="F861" s="1011"/>
      <c r="H861" s="265"/>
      <c r="I861" s="265"/>
    </row>
    <row r="862" spans="1:9" ht="14.25">
      <c r="A862" s="269"/>
      <c r="B862" s="269"/>
      <c r="D862" s="977" t="s">
        <v>1868</v>
      </c>
      <c r="E862" s="977"/>
      <c r="F862" s="977"/>
      <c r="H862" s="265"/>
      <c r="I862" s="265"/>
    </row>
    <row r="863" spans="1:9" ht="14.25">
      <c r="A863" s="269"/>
      <c r="B863" s="269"/>
      <c r="D863" s="24"/>
      <c r="E863" s="208"/>
      <c r="F863" s="208"/>
      <c r="H863" s="265"/>
      <c r="I863" s="265"/>
    </row>
    <row r="864" spans="1:9" ht="12.75">
      <c r="B864" s="606" t="s">
        <v>79</v>
      </c>
      <c r="C864" s="205"/>
      <c r="D864" s="985" t="s">
        <v>1452</v>
      </c>
      <c r="E864" s="985"/>
      <c r="F864" s="985"/>
      <c r="H864" s="265"/>
      <c r="I864" s="265"/>
    </row>
    <row r="865" spans="1:9" ht="12.75">
      <c r="A865" s="18"/>
      <c r="B865" s="18"/>
      <c r="C865" s="205"/>
      <c r="D865" s="3" t="s">
        <v>1430</v>
      </c>
      <c r="E865" s="986" t="s">
        <v>2060</v>
      </c>
      <c r="F865" s="986"/>
      <c r="H865" s="265"/>
      <c r="I865" s="265"/>
    </row>
    <row r="866" spans="1:9" ht="12.75">
      <c r="A866" s="18"/>
      <c r="B866" s="18"/>
      <c r="C866" s="205"/>
      <c r="D866" s="211"/>
      <c r="H866" s="265"/>
      <c r="I866" s="265"/>
    </row>
    <row r="867" spans="1:9" ht="12.75">
      <c r="A867" s="18"/>
      <c r="B867" s="606" t="s">
        <v>79</v>
      </c>
      <c r="C867" s="205"/>
      <c r="D867" s="1030" t="s">
        <v>1672</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79</v>
      </c>
      <c r="C877" s="205"/>
      <c r="D877" s="985" t="s">
        <v>1453</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79</v>
      </c>
      <c r="C881" s="205"/>
      <c r="D881" s="1011" t="s">
        <v>1454</v>
      </c>
      <c r="E881" s="1011"/>
      <c r="F881" s="1011"/>
      <c r="H881" s="265"/>
      <c r="I881" s="265"/>
    </row>
    <row r="882" spans="1:9" ht="12.75">
      <c r="B882" s="416"/>
      <c r="C882" s="205"/>
      <c r="D882" s="1011"/>
      <c r="E882" s="1011"/>
      <c r="F882" s="1011"/>
      <c r="H882" s="265"/>
      <c r="I882" s="265"/>
    </row>
    <row r="883" spans="1:9" ht="14.25" customHeight="1">
      <c r="A883" s="269"/>
      <c r="C883" s="205"/>
      <c r="D883" s="985" t="s">
        <v>2135</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79</v>
      </c>
      <c r="C890" s="205"/>
      <c r="D890" s="985" t="s">
        <v>1175</v>
      </c>
      <c r="E890" s="985"/>
      <c r="F890" s="985"/>
      <c r="H890" s="265"/>
      <c r="I890" s="265"/>
    </row>
    <row r="891" spans="1:9" ht="14.25">
      <c r="A891" s="269"/>
      <c r="B891" s="269"/>
      <c r="C891" s="205"/>
      <c r="D891" s="985" t="s">
        <v>1176</v>
      </c>
      <c r="E891" s="985"/>
      <c r="F891" s="985"/>
      <c r="H891" s="265"/>
      <c r="I891" s="265"/>
    </row>
    <row r="892" spans="1:9" ht="14.25">
      <c r="A892" s="269"/>
      <c r="B892" s="269"/>
      <c r="C892" s="205"/>
      <c r="D892" s="3" t="s">
        <v>1429</v>
      </c>
      <c r="E892" s="986" t="s">
        <v>2062</v>
      </c>
      <c r="F892" s="986"/>
      <c r="H892" s="265"/>
      <c r="I892" s="265"/>
    </row>
    <row r="893" spans="1:9" ht="14.25">
      <c r="A893" s="269"/>
      <c r="B893" s="269"/>
      <c r="C893" s="205"/>
      <c r="D893" s="44"/>
      <c r="H893" s="265"/>
      <c r="I893" s="265"/>
    </row>
    <row r="894" spans="1:9" ht="14.25">
      <c r="A894" s="269"/>
      <c r="B894" s="606" t="s">
        <v>79</v>
      </c>
      <c r="C894" s="205"/>
      <c r="D894" s="985" t="s">
        <v>1455</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05" t="s">
        <v>1514</v>
      </c>
      <c r="E901" s="1005"/>
      <c r="F901" s="1005"/>
      <c r="G901" s="186"/>
      <c r="H901" s="265"/>
      <c r="I901" s="265"/>
    </row>
    <row r="902" spans="1:9" ht="12.75">
      <c r="C902" s="189"/>
      <c r="D902" s="1018" t="s">
        <v>1869</v>
      </c>
      <c r="E902" s="1019"/>
      <c r="F902" s="1019"/>
      <c r="G902" s="186"/>
      <c r="H902" s="265"/>
      <c r="I902" s="265"/>
    </row>
    <row r="903" spans="1:9" ht="12.75">
      <c r="C903" s="189"/>
      <c r="D903" s="637"/>
      <c r="E903" s="637"/>
      <c r="F903" s="637"/>
      <c r="G903" s="186"/>
      <c r="H903" s="265"/>
      <c r="I903" s="265"/>
    </row>
    <row r="904" spans="1:9" ht="14.25">
      <c r="A904" s="269"/>
      <c r="B904" s="606" t="s">
        <v>79</v>
      </c>
      <c r="D904" s="1004" t="s">
        <v>1474</v>
      </c>
      <c r="E904" s="1004"/>
      <c r="F904" s="1004"/>
      <c r="G904" s="186"/>
      <c r="H904" s="265"/>
      <c r="I904" s="265"/>
    </row>
    <row r="905" spans="1:9" ht="12.75">
      <c r="D905" s="3" t="s">
        <v>1429</v>
      </c>
      <c r="E905" s="1017" t="s">
        <v>2062</v>
      </c>
      <c r="F905" s="1017"/>
      <c r="G905" s="186"/>
    </row>
    <row r="906" spans="1:9" ht="12.75">
      <c r="D906" s="44"/>
      <c r="E906" s="186"/>
      <c r="F906" s="186"/>
      <c r="G906" s="186"/>
      <c r="H906" s="265"/>
      <c r="I906" s="265"/>
    </row>
    <row r="907" spans="1:9" ht="14.25">
      <c r="A907" s="269"/>
      <c r="B907" s="606" t="s">
        <v>79</v>
      </c>
      <c r="D907" s="977" t="s">
        <v>1872</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79</v>
      </c>
      <c r="D910" s="1013" t="s">
        <v>1674</v>
      </c>
      <c r="E910" s="1013"/>
      <c r="F910" s="1013"/>
      <c r="G910" s="186"/>
      <c r="H910" s="265"/>
      <c r="I910" s="265"/>
    </row>
    <row r="911" spans="1:9" ht="29.45" customHeight="1">
      <c r="B911" s="562"/>
      <c r="D911" s="1013"/>
      <c r="E911" s="1013"/>
      <c r="F911" s="1013"/>
      <c r="G911" s="186"/>
      <c r="H911" s="265"/>
      <c r="I911" s="265"/>
    </row>
    <row r="912" spans="1:9" ht="14.25">
      <c r="A912" s="269"/>
      <c r="B912"/>
      <c r="D912" s="985" t="s">
        <v>2135</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79</v>
      </c>
      <c r="D919" s="1014" t="s">
        <v>1175</v>
      </c>
      <c r="E919" s="1014"/>
      <c r="F919" s="1014"/>
      <c r="G919" s="186"/>
      <c r="H919" s="265"/>
      <c r="I919" s="265"/>
    </row>
    <row r="920" spans="1:9" ht="14.25">
      <c r="A920" s="269"/>
      <c r="B920" s="269"/>
      <c r="D920" s="1014" t="s">
        <v>1176</v>
      </c>
      <c r="E920" s="1014"/>
      <c r="F920" s="1014"/>
      <c r="G920" s="186"/>
      <c r="H920" s="265"/>
      <c r="I920" s="265"/>
    </row>
    <row r="921" spans="1:9" ht="14.25">
      <c r="A921" s="269"/>
      <c r="B921" s="269"/>
      <c r="D921" s="3" t="s">
        <v>1475</v>
      </c>
      <c r="E921" s="1015" t="s">
        <v>2062</v>
      </c>
      <c r="F921" s="1015"/>
      <c r="G921" s="186"/>
      <c r="H921" s="265"/>
      <c r="I921" s="265"/>
    </row>
    <row r="922" spans="1:9" ht="14.25">
      <c r="A922" s="269"/>
      <c r="B922" s="269"/>
      <c r="D922" s="44"/>
      <c r="E922" s="186"/>
      <c r="F922" s="186"/>
      <c r="G922" s="186"/>
      <c r="H922" s="265"/>
      <c r="I922" s="265"/>
    </row>
    <row r="923" spans="1:9" ht="14.25">
      <c r="A923" s="269"/>
      <c r="B923" s="606" t="s">
        <v>79</v>
      </c>
      <c r="D923" s="985" t="s">
        <v>1455</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1402</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1629</v>
      </c>
      <c r="E930" s="1008"/>
      <c r="F930" s="1008"/>
      <c r="G930" s="186"/>
      <c r="H930" s="265"/>
      <c r="I930" s="265"/>
    </row>
    <row r="931" spans="1:9" ht="12.75">
      <c r="A931" s="188"/>
      <c r="B931" s="188"/>
      <c r="C931" s="188"/>
      <c r="D931" s="1004" t="s">
        <v>1473</v>
      </c>
      <c r="E931" s="1004"/>
      <c r="F931" s="1004"/>
      <c r="G931" s="186"/>
      <c r="H931" s="265"/>
      <c r="I931" s="265"/>
    </row>
    <row r="932" spans="1:9" ht="12.75">
      <c r="A932" s="188"/>
      <c r="B932" s="188"/>
      <c r="C932" s="188"/>
      <c r="F932" s="186"/>
      <c r="G932" s="186"/>
      <c r="H932" s="265"/>
      <c r="I932" s="265"/>
    </row>
    <row r="933" spans="1:9" ht="13.7" customHeight="1">
      <c r="A933" s="188"/>
      <c r="B933" s="606" t="s">
        <v>79</v>
      </c>
      <c r="C933" s="188"/>
      <c r="D933" s="1011" t="s">
        <v>1638</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79</v>
      </c>
      <c r="C939" s="189"/>
      <c r="D939" s="986" t="s">
        <v>1721</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86" t="s">
        <v>1722</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12" t="s">
        <v>1639</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79</v>
      </c>
      <c r="C965" s="189"/>
      <c r="D965" s="986" t="s">
        <v>1640</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1641</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79</v>
      </c>
      <c r="D973" s="985" t="s">
        <v>1642</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1632</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79</v>
      </c>
      <c r="C978" s="205"/>
      <c r="D978" s="1007" t="s">
        <v>1631</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79</v>
      </c>
      <c r="C985" s="205"/>
      <c r="D985" s="1007" t="s">
        <v>1630</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79</v>
      </c>
      <c r="C991" s="205"/>
      <c r="D991" s="1007" t="s">
        <v>1633</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79</v>
      </c>
      <c r="C997" s="205"/>
      <c r="D997" s="1007" t="s">
        <v>1634</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79</v>
      </c>
      <c r="C1001" s="205"/>
      <c r="D1001" s="1007" t="s">
        <v>1635</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79</v>
      </c>
      <c r="C1004" s="205"/>
      <c r="D1004" s="977" t="s">
        <v>2294</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79</v>
      </c>
      <c r="C1007" s="205"/>
      <c r="D1007" s="1009" t="s">
        <v>1759</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04" t="s">
        <v>2136</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79</v>
      </c>
      <c r="C1014" s="205"/>
      <c r="D1014" s="1004" t="s">
        <v>2137</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1476</v>
      </c>
      <c r="E1016" s="1005"/>
      <c r="F1016" s="1005"/>
      <c r="G1016" s="186"/>
      <c r="H1016" s="265"/>
      <c r="I1016" s="265"/>
    </row>
    <row r="1017" spans="1:9" ht="12.75">
      <c r="A1017" s="205"/>
      <c r="C1017" s="205"/>
      <c r="D1017" s="190"/>
      <c r="E1017" s="186"/>
      <c r="F1017" s="186"/>
      <c r="G1017" s="186"/>
      <c r="H1017" s="265"/>
      <c r="I1017" s="265"/>
    </row>
    <row r="1018" spans="1:9" ht="14.25">
      <c r="A1018" s="269"/>
      <c r="B1018" s="606" t="s">
        <v>79</v>
      </c>
      <c r="C1018" s="205"/>
      <c r="D1018" s="985" t="s">
        <v>1636</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79</v>
      </c>
      <c r="C1024" s="205"/>
      <c r="D1024" s="985" t="s">
        <v>1637</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1477</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79</v>
      </c>
      <c r="C1032" s="205"/>
      <c r="D1032" s="985" t="s">
        <v>1643</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79</v>
      </c>
      <c r="C1036" s="205"/>
      <c r="D1036" s="985" t="s">
        <v>1644</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1478</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79</v>
      </c>
      <c r="C1042" s="205"/>
      <c r="D1042" s="985" t="s">
        <v>1646</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5" t="s">
        <v>1645</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3" t="s">
        <v>1647</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5" t="s">
        <v>1648</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79</v>
      </c>
      <c r="C1058" s="205"/>
      <c r="D1058" s="985" t="s">
        <v>1649</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79</v>
      </c>
      <c r="C1062" s="205"/>
      <c r="D1062" s="985" t="s">
        <v>1479</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79</v>
      </c>
      <c r="C1066" s="205"/>
      <c r="D1066" s="985" t="s">
        <v>1480</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79</v>
      </c>
      <c r="C1070" s="205"/>
      <c r="D1070" s="1046" t="s">
        <v>1125</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1481</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79</v>
      </c>
      <c r="C1084" s="205"/>
      <c r="D1084" s="977" t="s">
        <v>2187</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79</v>
      </c>
      <c r="C1089" s="205"/>
      <c r="D1089" s="977" t="s">
        <v>2188</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79</v>
      </c>
      <c r="C1094" s="205"/>
      <c r="D1094" s="1010" t="s">
        <v>1650</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79</v>
      </c>
      <c r="C1098" s="426"/>
      <c r="D1098" s="1040" t="s">
        <v>2138</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1482</v>
      </c>
      <c r="E1102" s="1005"/>
      <c r="F1102" s="1005"/>
      <c r="G1102" s="186"/>
    </row>
    <row r="1103" spans="1:9" ht="12.75">
      <c r="C1103" s="205"/>
      <c r="D1103" s="190"/>
      <c r="E1103" s="186"/>
      <c r="F1103" s="186"/>
      <c r="G1103" s="186"/>
    </row>
    <row r="1104" spans="1:9" ht="12.75">
      <c r="A1104" s="205"/>
      <c r="B1104" s="606" t="s">
        <v>79</v>
      </c>
      <c r="C1104" s="205"/>
      <c r="D1104" s="985" t="s">
        <v>1651</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79</v>
      </c>
      <c r="C1108" s="205"/>
      <c r="D1108" s="985" t="s">
        <v>1652</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1117</v>
      </c>
      <c r="E1112" s="1005"/>
      <c r="F1112" s="1005"/>
      <c r="G1112" s="186"/>
    </row>
    <row r="1113" spans="1:7" ht="12.75">
      <c r="A1113" s="205"/>
      <c r="B1113" s="205"/>
      <c r="C1113" s="205"/>
      <c r="D1113" s="1004" t="s">
        <v>1483</v>
      </c>
      <c r="E1113" s="1004"/>
      <c r="F1113" s="1004"/>
      <c r="G1113" s="186"/>
    </row>
    <row r="1114" spans="1:7" ht="12.75">
      <c r="A1114" s="205"/>
      <c r="B1114" s="205"/>
      <c r="C1114" s="205"/>
      <c r="D1114" s="416"/>
      <c r="E1114" s="186"/>
      <c r="F1114" s="186"/>
      <c r="G1114" s="186"/>
    </row>
    <row r="1115" spans="1:7" ht="14.25">
      <c r="A1115" s="269"/>
      <c r="B1115" s="606" t="s">
        <v>79</v>
      </c>
      <c r="C1115" s="205"/>
      <c r="D1115" s="985" t="s">
        <v>1653</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79</v>
      </c>
      <c r="C1118" s="205"/>
      <c r="D1118" s="985" t="s">
        <v>1654</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1484</v>
      </c>
      <c r="E1121" s="1005"/>
      <c r="F1121" s="1005"/>
      <c r="G1121" s="186"/>
    </row>
    <row r="1122" spans="1:7" ht="12.75">
      <c r="A1122" s="205"/>
      <c r="B1122" s="205"/>
      <c r="C1122" s="205"/>
      <c r="D1122" s="190"/>
      <c r="E1122" s="186"/>
      <c r="F1122" s="186"/>
      <c r="G1122" s="186"/>
    </row>
    <row r="1123" spans="1:7" ht="14.25">
      <c r="A1123" s="269"/>
      <c r="B1123" s="606" t="s">
        <v>79</v>
      </c>
      <c r="C1123" s="205"/>
      <c r="D1123" s="985" t="s">
        <v>1655</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79</v>
      </c>
      <c r="C1131" s="205"/>
      <c r="D1131" s="985" t="s">
        <v>1656</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4" customHeight="1">
      <c r="A1139" s="205"/>
      <c r="B1139" s="606" t="s">
        <v>79</v>
      </c>
      <c r="C1139" s="205"/>
      <c r="D1139" s="1009" t="s">
        <v>1760</v>
      </c>
      <c r="E1139" s="1010"/>
      <c r="F1139" s="1010"/>
      <c r="G1139" s="186"/>
    </row>
    <row r="1140" spans="1:7" ht="12.4"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1485</v>
      </c>
      <c r="E1143" s="1005"/>
      <c r="F1143" s="1005"/>
    </row>
    <row r="1144" spans="1:7" ht="12.75">
      <c r="D1144" s="190"/>
    </row>
    <row r="1145" spans="1:7" ht="14.25">
      <c r="A1145" s="269"/>
      <c r="B1145" s="606" t="s">
        <v>79</v>
      </c>
      <c r="D1145" s="985" t="s">
        <v>1657</v>
      </c>
      <c r="E1145" s="985"/>
      <c r="F1145" s="985"/>
    </row>
    <row r="1146" spans="1:7" ht="12.75">
      <c r="D1146" s="985"/>
      <c r="E1146" s="985"/>
      <c r="F1146" s="985"/>
    </row>
    <row r="1147" spans="1:7" ht="12.75"/>
    <row r="1148" spans="1:7" ht="14.25">
      <c r="A1148" s="269"/>
      <c r="B1148" s="606" t="s">
        <v>79</v>
      </c>
      <c r="D1148" s="985" t="s">
        <v>1658</v>
      </c>
      <c r="E1148" s="985"/>
      <c r="F1148" s="985"/>
    </row>
    <row r="1149" spans="1:7" ht="12.75">
      <c r="D1149" s="985"/>
      <c r="E1149" s="985"/>
      <c r="F1149" s="985"/>
    </row>
    <row r="1150" spans="1:7" ht="12.75"/>
    <row r="1151" spans="1:7" ht="12.75">
      <c r="D1151" s="1005" t="s">
        <v>1486</v>
      </c>
      <c r="E1151" s="1005"/>
      <c r="F1151" s="1005"/>
    </row>
    <row r="1152" spans="1:7" ht="12.75">
      <c r="D1152" s="190"/>
    </row>
    <row r="1153" spans="1:7" ht="14.25">
      <c r="A1153" s="269"/>
      <c r="B1153" s="606" t="s">
        <v>79</v>
      </c>
      <c r="D1153" s="1004" t="s">
        <v>1659</v>
      </c>
      <c r="E1153" s="1004"/>
      <c r="F1153" s="1004"/>
    </row>
    <row r="1154" spans="1:7" ht="12.75"/>
    <row r="1155" spans="1:7" ht="14.25">
      <c r="A1155" s="269"/>
      <c r="B1155" s="606" t="s">
        <v>79</v>
      </c>
      <c r="D1155" s="985" t="s">
        <v>1660</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1670</v>
      </c>
      <c r="E1158" s="1005"/>
      <c r="F1158" s="1005"/>
      <c r="G1158"/>
    </row>
    <row r="1159" spans="1:7" ht="12.75">
      <c r="D1159" s="190"/>
      <c r="G1159"/>
    </row>
    <row r="1160" spans="1:7" ht="14.45" customHeight="1">
      <c r="A1160" s="269"/>
      <c r="B1160" s="606" t="s">
        <v>79</v>
      </c>
      <c r="D1160" s="977" t="s">
        <v>2189</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1403</v>
      </c>
      <c r="B1175" s="1038"/>
      <c r="C1175" s="1038"/>
      <c r="D1175" s="1038"/>
      <c r="E1175" s="1038"/>
      <c r="F1175" s="1038"/>
      <c r="G1175" s="1038"/>
    </row>
    <row r="1176" spans="1:7" ht="12.75">
      <c r="A1176" s="44"/>
      <c r="B1176" s="44"/>
    </row>
    <row r="1177" spans="1:7" ht="12.75">
      <c r="C1177" s="205"/>
      <c r="D1177" s="1005" t="s">
        <v>1661</v>
      </c>
      <c r="E1177" s="1005"/>
      <c r="F1177" s="1005"/>
    </row>
    <row r="1178" spans="1:7" ht="12.75">
      <c r="A1178" s="188"/>
      <c r="B1178" s="188"/>
      <c r="C1178" s="188"/>
      <c r="D1178" s="1006" t="s">
        <v>1490</v>
      </c>
      <c r="E1178" s="1004"/>
      <c r="F1178" s="1004"/>
    </row>
    <row r="1179" spans="1:7" ht="12.75">
      <c r="A1179" s="188"/>
      <c r="B1179" s="188"/>
      <c r="C1179" s="188"/>
      <c r="F1179" s="186"/>
      <c r="G1179"/>
    </row>
    <row r="1180" spans="1:7" ht="13.7" customHeight="1">
      <c r="B1180" s="606" t="s">
        <v>79</v>
      </c>
      <c r="D1180" s="1059" t="s">
        <v>2079</v>
      </c>
      <c r="E1180" s="1059"/>
      <c r="F1180" s="1059"/>
      <c r="G1180"/>
    </row>
    <row r="1181" spans="1:7" ht="12.75">
      <c r="D1181" s="1059"/>
      <c r="E1181" s="1059"/>
      <c r="F1181" s="1059"/>
      <c r="G1181"/>
    </row>
    <row r="1182" spans="1:7" ht="12.75">
      <c r="D1182" s="15"/>
      <c r="E1182" s="923" t="s">
        <v>2080</v>
      </c>
      <c r="F1182" s="15"/>
      <c r="G1182"/>
    </row>
    <row r="1183" spans="1:7" ht="12.75">
      <c r="D1183" s="15"/>
      <c r="E1183" s="15"/>
      <c r="F1183" s="15"/>
      <c r="G1183"/>
    </row>
    <row r="1184" spans="1:7" ht="12.75">
      <c r="D1184" s="980" t="s">
        <v>2078</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79</v>
      </c>
      <c r="C1188" s="189"/>
      <c r="D1188" s="985" t="s">
        <v>1671</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79</v>
      </c>
      <c r="C1193" s="189"/>
      <c r="D1193" s="977" t="s">
        <v>2295</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79</v>
      </c>
      <c r="D1196" s="1004" t="s">
        <v>1662</v>
      </c>
      <c r="E1196" s="1004"/>
      <c r="F1196" s="1004"/>
      <c r="G1196"/>
    </row>
    <row r="1197" spans="1:7" ht="12.75">
      <c r="G1197"/>
    </row>
    <row r="1198" spans="1:7" ht="14.25">
      <c r="A1198" s="269"/>
      <c r="B1198" s="606" t="s">
        <v>79</v>
      </c>
      <c r="D1198" s="1004" t="s">
        <v>1663</v>
      </c>
      <c r="E1198" s="1004"/>
      <c r="F1198" s="1004"/>
      <c r="G1198"/>
    </row>
    <row r="1199" spans="1:7" ht="12.75">
      <c r="D1199" s="44"/>
      <c r="G1199"/>
    </row>
    <row r="1200" spans="1:7" ht="14.25">
      <c r="A1200" s="269"/>
      <c r="B1200" s="606" t="s">
        <v>79</v>
      </c>
      <c r="D1200" s="1004" t="s">
        <v>1664</v>
      </c>
      <c r="E1200" s="1004"/>
      <c r="F1200" s="1004"/>
      <c r="G1200"/>
    </row>
    <row r="1201" spans="1:7" ht="12.75">
      <c r="D1201" s="44"/>
      <c r="G1201"/>
    </row>
    <row r="1202" spans="1:7" ht="14.25">
      <c r="A1202" s="269"/>
      <c r="B1202" s="606" t="s">
        <v>79</v>
      </c>
      <c r="D1202" s="985" t="s">
        <v>1665</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79</v>
      </c>
      <c r="C1205" s="288"/>
      <c r="D1205" s="1002" t="s">
        <v>1666</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79</v>
      </c>
      <c r="C1208" s="288"/>
      <c r="D1208" s="1003" t="s">
        <v>1667</v>
      </c>
      <c r="E1208" s="1003"/>
      <c r="F1208" s="1003"/>
      <c r="G1208" s="290"/>
    </row>
    <row r="1209" spans="1:7" s="445" customFormat="1" ht="12.75">
      <c r="A1209" s="288"/>
      <c r="B1209" s="288"/>
      <c r="C1209" s="288"/>
      <c r="D1209" s="289"/>
      <c r="E1209" s="290"/>
      <c r="F1209" s="290"/>
      <c r="G1209" s="290"/>
    </row>
    <row r="1210" spans="1:7" ht="14.25">
      <c r="A1210" s="269"/>
      <c r="B1210" s="606" t="s">
        <v>79</v>
      </c>
      <c r="D1210" s="1004" t="s">
        <v>1668</v>
      </c>
      <c r="E1210" s="1004"/>
      <c r="F1210" s="1004"/>
    </row>
    <row r="1211" spans="1:7" ht="14.25">
      <c r="A1211" s="269"/>
      <c r="B1211" s="269"/>
      <c r="D1211" s="44"/>
    </row>
    <row r="1212" spans="1:7" ht="14.25">
      <c r="A1212" s="269"/>
      <c r="B1212" s="606" t="s">
        <v>79</v>
      </c>
      <c r="D1212" s="985" t="s">
        <v>1669</v>
      </c>
      <c r="E1212" s="985"/>
      <c r="F1212" s="985"/>
    </row>
    <row r="1213" spans="1:7" ht="14.25">
      <c r="A1213" s="269"/>
      <c r="B1213" s="269"/>
      <c r="D1213" s="985"/>
      <c r="E1213" s="985"/>
      <c r="F1213" s="985"/>
    </row>
    <row r="1214" spans="1:7" ht="12.75"/>
    <row r="1215" spans="1:7" ht="12.75">
      <c r="A1215" s="1038" t="s">
        <v>1998</v>
      </c>
      <c r="B1215" s="1038"/>
      <c r="C1215" s="1038"/>
      <c r="D1215" s="1038"/>
      <c r="E1215" s="1038"/>
      <c r="F1215" s="1038"/>
      <c r="G1215" s="1038"/>
    </row>
    <row r="1216" spans="1:7" ht="12.75"/>
    <row r="1217" spans="1:7" ht="12.75">
      <c r="A1217" s="1038" t="s">
        <v>1404</v>
      </c>
      <c r="B1217" s="1038"/>
      <c r="C1217" s="1038"/>
      <c r="D1217" s="1038"/>
      <c r="E1217" s="1038"/>
      <c r="F1217" s="1038"/>
      <c r="G1217" s="1038"/>
    </row>
    <row r="1218" spans="1:7" ht="12.75"/>
    <row r="1219" spans="1:7" ht="12.75">
      <c r="D1219" s="1008" t="s">
        <v>1509</v>
      </c>
      <c r="E1219" s="1008"/>
      <c r="F1219" s="1008"/>
    </row>
    <row r="1220" spans="1:7" ht="12.75">
      <c r="D1220" s="1043" t="s">
        <v>1905</v>
      </c>
      <c r="E1220" s="1043"/>
      <c r="F1220" s="1043"/>
    </row>
    <row r="1221" spans="1:7" ht="12.75">
      <c r="A1221" s="188"/>
      <c r="B1221" s="188"/>
      <c r="C1221" s="188"/>
    </row>
    <row r="1222" spans="1:7" ht="14.25">
      <c r="A1222" s="269"/>
      <c r="B1222" s="269"/>
      <c r="C1222" s="189"/>
      <c r="D1222" s="1008" t="s">
        <v>1510</v>
      </c>
      <c r="E1222" s="1008"/>
      <c r="F1222" s="1008"/>
    </row>
    <row r="1223" spans="1:7" ht="12.75">
      <c r="B1223" s="606" t="s">
        <v>79</v>
      </c>
      <c r="D1223" s="1003" t="s">
        <v>1511</v>
      </c>
      <c r="E1223" s="1003"/>
      <c r="F1223" s="1003"/>
    </row>
    <row r="1224" spans="1:7" ht="12.75">
      <c r="D1224" s="1043" t="s">
        <v>1906</v>
      </c>
      <c r="E1224" s="1043"/>
      <c r="F1224" s="1043"/>
    </row>
    <row r="1225" spans="1:7" ht="12.75">
      <c r="G1225"/>
    </row>
    <row r="1226" spans="1:7" ht="12.75" customHeight="1">
      <c r="B1226" s="606" t="s">
        <v>79</v>
      </c>
      <c r="D1226" s="1027" t="s">
        <v>1823</v>
      </c>
      <c r="E1226" s="1027"/>
      <c r="F1226" s="1027"/>
      <c r="G1226"/>
    </row>
    <row r="1227" spans="1:7" ht="12.75">
      <c r="D1227" s="1027"/>
      <c r="E1227" s="1027"/>
      <c r="F1227" s="1027"/>
      <c r="G1227"/>
    </row>
    <row r="1228" spans="1:7" ht="12.75">
      <c r="G1228"/>
    </row>
    <row r="1229" spans="1:7" ht="12.75" customHeight="1"/>
    <row r="1230" spans="1:7" ht="12.75">
      <c r="A1230" s="1038" t="s">
        <v>1406</v>
      </c>
      <c r="B1230" s="1038"/>
      <c r="C1230" s="1038"/>
      <c r="D1230" s="1038"/>
      <c r="E1230" s="1038"/>
      <c r="F1230" s="1038"/>
      <c r="G1230" s="1038"/>
    </row>
    <row r="1231" spans="1:7" ht="12.75">
      <c r="A1231" s="44"/>
      <c r="B1231" s="44"/>
    </row>
    <row r="1232" spans="1:7" ht="12.75" customHeight="1">
      <c r="A1232" s="44"/>
      <c r="B1232" s="44"/>
      <c r="D1232" s="1005" t="s">
        <v>1405</v>
      </c>
      <c r="E1232" s="1005"/>
      <c r="F1232" s="1005"/>
    </row>
    <row r="1233" spans="1:7" ht="12.75" customHeight="1">
      <c r="A1233" s="44"/>
      <c r="B1233" s="44"/>
      <c r="D1233" s="1004" t="s">
        <v>1412</v>
      </c>
      <c r="E1233" s="1004"/>
      <c r="F1233" s="1004"/>
    </row>
    <row r="1234" spans="1:7" ht="12.75" customHeight="1">
      <c r="A1234" s="44"/>
      <c r="B1234" s="44"/>
    </row>
    <row r="1235" spans="1:7" ht="14.25">
      <c r="A1235" s="269"/>
      <c r="B1235" s="606" t="s">
        <v>79</v>
      </c>
      <c r="D1235" s="1014" t="s">
        <v>1013</v>
      </c>
      <c r="E1235" s="1014"/>
      <c r="F1235" s="1014"/>
    </row>
    <row r="1236" spans="1:7" ht="12.75">
      <c r="D1236" s="1004" t="s">
        <v>1133</v>
      </c>
      <c r="E1236" s="1004"/>
      <c r="F1236" s="1004"/>
    </row>
    <row r="1237" spans="1:7" ht="12.75">
      <c r="E1237" s="1029" t="s">
        <v>2081</v>
      </c>
      <c r="F1237" s="1029"/>
    </row>
    <row r="1238" spans="1:7" ht="12.75">
      <c r="D1238" s="3"/>
    </row>
    <row r="1239" spans="1:7" ht="12.75">
      <c r="D1239" s="1042" t="s">
        <v>1273</v>
      </c>
      <c r="E1239" s="1042"/>
      <c r="F1239" s="1042"/>
    </row>
    <row r="1240" spans="1:7" ht="12.75">
      <c r="B1240" s="606" t="s">
        <v>79</v>
      </c>
      <c r="D1240" s="977" t="s">
        <v>2082</v>
      </c>
      <c r="E1240" s="985"/>
      <c r="F1240" s="985"/>
      <c r="G1240"/>
    </row>
    <row r="1241" spans="1:7" ht="12.75">
      <c r="D1241" s="985"/>
      <c r="E1241" s="985"/>
      <c r="F1241" s="985"/>
      <c r="G1241"/>
    </row>
    <row r="1242" spans="1:7" ht="12.75">
      <c r="D1242" s="498" t="s">
        <v>1276</v>
      </c>
      <c r="E1242"/>
      <c r="F1242"/>
      <c r="G1242"/>
    </row>
    <row r="1243" spans="1:7" ht="13.7" customHeight="1">
      <c r="D1243" s="977" t="s">
        <v>2083</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1016</v>
      </c>
      <c r="E1247" s="1029"/>
      <c r="F1247" s="1029"/>
      <c r="G1247"/>
    </row>
    <row r="1248" spans="1:7" ht="12.75">
      <c r="B1248" s="606" t="s">
        <v>79</v>
      </c>
      <c r="D1248" s="1014" t="s">
        <v>1274</v>
      </c>
      <c r="E1248" s="1014"/>
      <c r="F1248" s="1014"/>
      <c r="G1248"/>
    </row>
    <row r="1249" spans="1:7" ht="12.75">
      <c r="E1249"/>
      <c r="F1249"/>
      <c r="G1249"/>
    </row>
    <row r="1250" spans="1:7" ht="12.75">
      <c r="D1250" s="1044" t="s">
        <v>1275</v>
      </c>
      <c r="E1250" s="1044"/>
      <c r="F1250" s="1044"/>
      <c r="G1250"/>
    </row>
    <row r="1251" spans="1:7" ht="12.75">
      <c r="D1251" s="3" t="s">
        <v>1014</v>
      </c>
      <c r="E1251"/>
      <c r="F1251"/>
      <c r="G1251"/>
    </row>
    <row r="1252" spans="1:7" ht="14.45" customHeight="1">
      <c r="A1252" s="269"/>
      <c r="B1252" s="606" t="s">
        <v>79</v>
      </c>
      <c r="D1252" s="985" t="s">
        <v>1512</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1132</v>
      </c>
      <c r="E1256" s="416"/>
      <c r="F1256" s="416"/>
    </row>
    <row r="1257" spans="1:7" ht="14.25">
      <c r="A1257" s="269"/>
      <c r="B1257" s="606" t="s">
        <v>79</v>
      </c>
      <c r="D1257" s="985" t="s">
        <v>1513</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1436</v>
      </c>
      <c r="B1263" s="1038"/>
      <c r="C1263" s="1038"/>
      <c r="D1263" s="1038"/>
      <c r="E1263" s="1038"/>
      <c r="F1263" s="1038"/>
      <c r="G1263" s="1038"/>
    </row>
    <row r="1264" spans="1:7" ht="12.75">
      <c r="A1264" s="44"/>
      <c r="B1264" s="44"/>
    </row>
    <row r="1265" spans="1:7" ht="12.75">
      <c r="A1265" s="44"/>
      <c r="B1265" s="44"/>
      <c r="D1265" s="1034" t="s">
        <v>1437</v>
      </c>
      <c r="E1265" s="1034"/>
      <c r="F1265" s="1034"/>
    </row>
    <row r="1266" spans="1:7" ht="12.75">
      <c r="A1266" s="266"/>
      <c r="B1266" s="266"/>
      <c r="C1266" s="266"/>
      <c r="D1266" s="1014" t="s">
        <v>1450</v>
      </c>
      <c r="E1266" s="1014"/>
      <c r="F1266" s="1014"/>
      <c r="G1266" s="267"/>
    </row>
    <row r="1267" spans="1:7" ht="10.5" customHeight="1"/>
    <row r="1268" spans="1:7" ht="14.25">
      <c r="A1268" s="269"/>
      <c r="B1268" s="606" t="s">
        <v>79</v>
      </c>
      <c r="D1268" s="1014" t="s">
        <v>1134</v>
      </c>
      <c r="E1268" s="1014"/>
      <c r="F1268" s="1014"/>
    </row>
    <row r="1269" spans="1:7" ht="12.75">
      <c r="E1269" s="1029" t="s">
        <v>2084</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sqref="A1:AT124"/>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99" t="s">
        <v>792</v>
      </c>
      <c r="B9" s="1599"/>
      <c r="C9" s="1599"/>
      <c r="D9" s="1599"/>
      <c r="E9" s="1599"/>
      <c r="F9" s="1599"/>
      <c r="G9" s="1599"/>
      <c r="H9" s="1599"/>
      <c r="I9" s="1599"/>
      <c r="J9" s="1599"/>
      <c r="K9" s="1599"/>
      <c r="L9" s="1599"/>
      <c r="M9" s="1599"/>
      <c r="N9" s="1599"/>
      <c r="O9" s="1599"/>
      <c r="P9" s="1599"/>
      <c r="Q9" s="1599"/>
      <c r="R9" s="1599"/>
      <c r="S9" s="1599"/>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row>
    <row r="10" spans="1:46" s="656" customFormat="1" ht="12.95" customHeight="1">
      <c r="A10" s="1600" t="s">
        <v>2316</v>
      </c>
      <c r="B10" s="1600"/>
      <c r="C10" s="1600"/>
      <c r="D10" s="1600"/>
      <c r="E10" s="1600"/>
      <c r="F10" s="1600"/>
      <c r="G10" s="1600"/>
      <c r="H10" s="1600"/>
      <c r="I10" s="1600"/>
      <c r="J10" s="1600"/>
      <c r="K10" s="1600"/>
      <c r="L10" s="1600"/>
      <c r="M10" s="1600"/>
      <c r="N10" s="1600"/>
      <c r="O10" s="1600"/>
      <c r="P10" s="1600"/>
      <c r="Q10" s="1600"/>
      <c r="R10" s="1600"/>
      <c r="S10" s="1600"/>
      <c r="T10" s="1600"/>
      <c r="U10" s="1600"/>
      <c r="V10" s="1600"/>
      <c r="W10" s="1600"/>
      <c r="X10" s="1600"/>
      <c r="Y10" s="1600"/>
      <c r="Z10" s="1600"/>
      <c r="AA10" s="1600"/>
      <c r="AB10" s="1600"/>
      <c r="AC10" s="1600"/>
      <c r="AD10" s="1600"/>
      <c r="AE10" s="1600"/>
      <c r="AF10" s="1600"/>
      <c r="AG10" s="1600"/>
      <c r="AH10" s="1600"/>
      <c r="AI10" s="1600"/>
      <c r="AJ10" s="1600"/>
      <c r="AK10" s="1600"/>
      <c r="AL10" s="1600"/>
      <c r="AM10" s="1600"/>
      <c r="AN10" s="1600"/>
      <c r="AO10" s="1600"/>
      <c r="AP10" s="1600"/>
      <c r="AQ10" s="1600"/>
      <c r="AR10" s="1600"/>
      <c r="AS10" s="1600"/>
      <c r="AT10" s="1600"/>
    </row>
    <row r="11" spans="1:46" s="41" customFormat="1" ht="12.95" customHeight="1">
      <c r="A11" s="1601" t="s">
        <v>2330</v>
      </c>
      <c r="B11" s="1601"/>
      <c r="C11" s="1601"/>
      <c r="D11" s="1601"/>
      <c r="E11" s="1601"/>
      <c r="F11" s="1601"/>
      <c r="G11" s="1601"/>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row>
    <row r="12" spans="1:46" ht="12.95" customHeight="1">
      <c r="A12" s="988" t="s">
        <v>1862</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41" t="s">
        <v>2331</v>
      </c>
      <c r="I15" s="1441"/>
      <c r="J15" s="1441"/>
      <c r="K15" s="1441"/>
      <c r="L15" s="1441"/>
      <c r="M15" s="1441"/>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row>
    <row r="16" spans="1:46" ht="12.95" customHeight="1">
      <c r="C16"/>
    </row>
    <row r="17" spans="1:46" ht="12.95" customHeight="1">
      <c r="A17" s="63" t="s">
        <v>793</v>
      </c>
      <c r="C17" s="5"/>
      <c r="D17" s="5"/>
      <c r="E17" s="5"/>
      <c r="F17" s="5"/>
      <c r="G17" s="5"/>
      <c r="H17" s="1142" t="s">
        <v>2332</v>
      </c>
      <c r="I17" s="1435"/>
      <c r="J17" s="1435"/>
      <c r="K17" s="1435"/>
      <c r="L17" s="1435"/>
      <c r="M17" s="1435"/>
      <c r="N17" s="1435"/>
      <c r="O17" s="1435"/>
      <c r="P17" s="1435"/>
      <c r="Q17" s="1435"/>
      <c r="R17" s="1435"/>
      <c r="S17" s="1435"/>
      <c r="T17" s="1435"/>
      <c r="U17" s="1435"/>
      <c r="V17" s="1435"/>
      <c r="W17" s="1435"/>
      <c r="X17" s="1435"/>
      <c r="Y17" s="1435"/>
      <c r="Z17" s="1435"/>
      <c r="AA17" s="1435"/>
      <c r="AB17" s="1435"/>
      <c r="AC17" s="1435"/>
      <c r="AD17" s="1435"/>
      <c r="AE17" s="1435"/>
      <c r="AF17" s="1435"/>
      <c r="AG17" s="1435"/>
      <c r="AH17" s="1435"/>
      <c r="AI17" s="1435"/>
      <c r="AJ17" s="1435"/>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45" t="s">
        <v>1351</v>
      </c>
      <c r="B20" s="1445"/>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2235</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3">
        <f>ROUND('Basis &amp; Credits'!AB55,0)</f>
        <v>1391118</v>
      </c>
      <c r="N25" s="1433"/>
      <c r="O25" s="1433"/>
      <c r="P25" s="1433"/>
      <c r="Q25" s="1433"/>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3">
        <f>'Basis &amp; Credits'!AB76</f>
        <v>0</v>
      </c>
      <c r="N27" s="1433"/>
      <c r="O27" s="1433"/>
      <c r="P27" s="1433"/>
      <c r="Q27" s="1433"/>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2236</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2234</v>
      </c>
      <c r="B33"/>
      <c r="C33" s="100"/>
      <c r="D33" s="100"/>
      <c r="E33" s="100"/>
      <c r="F33" s="100"/>
      <c r="G33" s="100"/>
      <c r="H33" s="100"/>
      <c r="I33" s="100"/>
      <c r="J33" s="100"/>
      <c r="K33" s="100"/>
      <c r="L33" s="100"/>
      <c r="M33" s="100"/>
      <c r="N33" s="100"/>
      <c r="O33" s="1084" t="s">
        <v>482</v>
      </c>
      <c r="P33" s="1084"/>
      <c r="Q33" s="1602" t="s">
        <v>2237</v>
      </c>
      <c r="R33" s="1602"/>
      <c r="S33" s="1602"/>
      <c r="T33" s="1602"/>
      <c r="U33" s="1602"/>
      <c r="V33" s="1602"/>
      <c r="W33" s="1602"/>
      <c r="X33" s="1602"/>
      <c r="Y33" s="1602"/>
      <c r="Z33" s="1602"/>
      <c r="AA33" s="1602"/>
      <c r="AB33" s="1602"/>
      <c r="AC33" s="1602"/>
      <c r="AD33" s="1602"/>
      <c r="AE33" s="1602"/>
      <c r="AF33" s="1602"/>
      <c r="AG33" s="1602"/>
      <c r="AH33" s="1602"/>
      <c r="AI33" s="1602"/>
      <c r="AJ33" s="1602"/>
      <c r="AK33" s="1602"/>
      <c r="AL33" s="1602"/>
      <c r="AM33" s="1602"/>
      <c r="AN33" s="1602"/>
      <c r="AO33" s="1602"/>
      <c r="AP33" s="1602"/>
      <c r="AQ33" s="1602"/>
      <c r="AR33" s="1602"/>
      <c r="AS33" s="1602"/>
      <c r="AT33" s="1602"/>
    </row>
    <row r="34" spans="1:46" ht="12.95"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2239</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2240</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2241</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2243</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2245</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2247</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2248</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2249</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2250</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2251</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605" t="s">
        <v>2252</v>
      </c>
      <c r="B91" s="1605"/>
      <c r="C91" s="1605"/>
      <c r="D91" s="1605"/>
      <c r="E91" s="1605"/>
      <c r="F91" s="1605"/>
      <c r="G91" s="1605"/>
      <c r="H91" s="1605"/>
      <c r="I91" s="1605"/>
      <c r="J91" s="1605"/>
      <c r="K91" s="1605"/>
      <c r="L91" s="1605"/>
      <c r="M91" s="1605"/>
      <c r="N91" s="1605"/>
      <c r="O91" s="1605"/>
      <c r="P91" s="1605"/>
      <c r="Q91" s="1605"/>
      <c r="R91" s="1605"/>
      <c r="S91" s="1605"/>
      <c r="T91" s="1605"/>
      <c r="U91" s="1605"/>
      <c r="V91" s="1605"/>
      <c r="W91" s="1605"/>
      <c r="X91" s="1605"/>
      <c r="Y91" s="1605"/>
      <c r="Z91" s="1605"/>
      <c r="AA91" s="1605"/>
      <c r="AB91" s="1605"/>
      <c r="AC91" s="1605"/>
      <c r="AD91" s="1605"/>
      <c r="AE91" s="1605"/>
      <c r="AF91" s="1605"/>
      <c r="AG91" s="1605"/>
      <c r="AH91" s="1605"/>
      <c r="AI91" s="1605"/>
      <c r="AJ91" s="1605"/>
      <c r="AK91" s="1605"/>
      <c r="AL91" s="1605"/>
      <c r="AM91" s="1605"/>
      <c r="AN91" s="1605"/>
      <c r="AO91" s="1605"/>
      <c r="AP91" s="1605"/>
      <c r="AQ91" s="1605"/>
      <c r="AR91" s="1605"/>
      <c r="AS91" s="1605"/>
      <c r="AT91" s="1605"/>
    </row>
    <row r="92" spans="1:16384" ht="12.95" customHeight="1">
      <c r="A92" s="1605"/>
      <c r="B92" s="1605"/>
      <c r="C92" s="1605"/>
      <c r="D92" s="1605"/>
      <c r="E92" s="1605"/>
      <c r="F92" s="1605"/>
      <c r="G92" s="1605"/>
      <c r="H92" s="1605"/>
      <c r="I92" s="1605"/>
      <c r="J92" s="1605"/>
      <c r="K92" s="1605"/>
      <c r="L92" s="1605"/>
      <c r="M92" s="1605"/>
      <c r="N92" s="1605"/>
      <c r="O92" s="1605"/>
      <c r="P92" s="1605"/>
      <c r="Q92" s="1605"/>
      <c r="R92" s="1605"/>
      <c r="S92" s="1605"/>
      <c r="T92" s="1605"/>
      <c r="U92" s="1605"/>
      <c r="V92" s="1605"/>
      <c r="W92" s="1605"/>
      <c r="X92" s="1605"/>
      <c r="Y92" s="1605"/>
      <c r="Z92" s="1605"/>
      <c r="AA92" s="1605"/>
      <c r="AB92" s="1605"/>
      <c r="AC92" s="1605"/>
      <c r="AD92" s="1605"/>
      <c r="AE92" s="1605"/>
      <c r="AF92" s="1605"/>
      <c r="AG92" s="1605"/>
      <c r="AH92" s="1605"/>
      <c r="AI92" s="1605"/>
      <c r="AJ92" s="1605"/>
      <c r="AK92" s="1605"/>
      <c r="AL92" s="1605"/>
      <c r="AM92" s="1605"/>
      <c r="AN92" s="1605"/>
      <c r="AO92" s="1605"/>
      <c r="AP92" s="1605"/>
      <c r="AQ92" s="1605"/>
      <c r="AR92" s="1605"/>
      <c r="AS92" s="1605"/>
      <c r="AT92" s="1605"/>
    </row>
    <row r="93" spans="1:16384" ht="12.95" customHeight="1">
      <c r="A93" s="1605"/>
      <c r="B93" s="1605"/>
      <c r="C93" s="1605"/>
      <c r="D93" s="1605"/>
      <c r="E93" s="1605"/>
      <c r="F93" s="1605"/>
      <c r="G93" s="1605"/>
      <c r="H93" s="1605"/>
      <c r="I93" s="1605"/>
      <c r="J93" s="1605"/>
      <c r="K93" s="1605"/>
      <c r="L93" s="1605"/>
      <c r="M93" s="1605"/>
      <c r="N93" s="1605"/>
      <c r="O93" s="1605"/>
      <c r="P93" s="1605"/>
      <c r="Q93" s="1605"/>
      <c r="R93" s="1605"/>
      <c r="S93" s="1605"/>
      <c r="T93" s="1605"/>
      <c r="U93" s="1605"/>
      <c r="V93" s="1605"/>
      <c r="W93" s="1605"/>
      <c r="X93" s="1605"/>
      <c r="Y93" s="1605"/>
      <c r="Z93" s="1605"/>
      <c r="AA93" s="1605"/>
      <c r="AB93" s="1605"/>
      <c r="AC93" s="1605"/>
      <c r="AD93" s="1605"/>
      <c r="AE93" s="1605"/>
      <c r="AF93" s="1605"/>
      <c r="AG93" s="1605"/>
      <c r="AH93" s="1605"/>
      <c r="AI93" s="1605"/>
      <c r="AJ93" s="1605"/>
      <c r="AK93" s="1605"/>
      <c r="AL93" s="1605"/>
      <c r="AM93" s="1605"/>
      <c r="AN93" s="1605"/>
      <c r="AO93" s="1605"/>
      <c r="AP93" s="1605"/>
      <c r="AQ93" s="1605"/>
      <c r="AR93" s="1605"/>
      <c r="AS93" s="1605"/>
      <c r="AT93" s="1605"/>
    </row>
    <row r="94" spans="1:16384" ht="12.95" customHeight="1">
      <c r="A94" s="1605"/>
      <c r="B94" s="1605"/>
      <c r="C94" s="1605"/>
      <c r="D94" s="1605"/>
      <c r="E94" s="1605"/>
      <c r="F94" s="1605"/>
      <c r="G94" s="1605"/>
      <c r="H94" s="1605"/>
      <c r="I94" s="1605"/>
      <c r="J94" s="1605"/>
      <c r="K94" s="1605"/>
      <c r="L94" s="1605"/>
      <c r="M94" s="1605"/>
      <c r="N94" s="1605"/>
      <c r="O94" s="1605"/>
      <c r="P94" s="1605"/>
      <c r="Q94" s="1605"/>
      <c r="R94" s="1605"/>
      <c r="S94" s="1605"/>
      <c r="T94" s="1605"/>
      <c r="U94" s="1605"/>
      <c r="V94" s="1605"/>
      <c r="W94" s="1605"/>
      <c r="X94" s="1605"/>
      <c r="Y94" s="1605"/>
      <c r="Z94" s="1605"/>
      <c r="AA94" s="1605"/>
      <c r="AB94" s="1605"/>
      <c r="AC94" s="1605"/>
      <c r="AD94" s="1605"/>
      <c r="AE94" s="1605"/>
      <c r="AF94" s="1605"/>
      <c r="AG94" s="1605"/>
      <c r="AH94" s="1605"/>
      <c r="AI94" s="1605"/>
      <c r="AJ94" s="1605"/>
      <c r="AK94" s="1605"/>
      <c r="AL94" s="1605"/>
      <c r="AM94" s="1605"/>
      <c r="AN94" s="1605"/>
      <c r="AO94" s="1605"/>
      <c r="AP94" s="1605"/>
      <c r="AQ94" s="1605"/>
      <c r="AR94" s="1605"/>
      <c r="AS94" s="1605"/>
      <c r="AT94" s="1605"/>
    </row>
    <row r="95" spans="1:16384" ht="12.95" customHeight="1">
      <c r="A95" s="1605"/>
      <c r="B95" s="1605"/>
      <c r="C95" s="1605"/>
      <c r="D95" s="1605"/>
      <c r="E95" s="1605"/>
      <c r="F95" s="1605"/>
      <c r="G95" s="1605"/>
      <c r="H95" s="1605"/>
      <c r="I95" s="1605"/>
      <c r="J95" s="1605"/>
      <c r="K95" s="1605"/>
      <c r="L95" s="1605"/>
      <c r="M95" s="1605"/>
      <c r="N95" s="1605"/>
      <c r="O95" s="1605"/>
      <c r="P95" s="1605"/>
      <c r="Q95" s="1605"/>
      <c r="R95" s="1605"/>
      <c r="S95" s="1605"/>
      <c r="T95" s="1605"/>
      <c r="U95" s="1605"/>
      <c r="V95" s="1605"/>
      <c r="W95" s="1605"/>
      <c r="X95" s="1605"/>
      <c r="Y95" s="1605"/>
      <c r="Z95" s="1605"/>
      <c r="AA95" s="1605"/>
      <c r="AB95" s="1605"/>
      <c r="AC95" s="1605"/>
      <c r="AD95" s="1605"/>
      <c r="AE95" s="1605"/>
      <c r="AF95" s="1605"/>
      <c r="AG95" s="1605"/>
      <c r="AH95" s="1605"/>
      <c r="AI95" s="1605"/>
      <c r="AJ95" s="1605"/>
      <c r="AK95" s="1605"/>
      <c r="AL95" s="1605"/>
      <c r="AM95" s="1605"/>
      <c r="AN95" s="1605"/>
      <c r="AO95" s="1605"/>
      <c r="AP95" s="1605"/>
      <c r="AQ95" s="1605"/>
      <c r="AR95" s="1605"/>
      <c r="AS95" s="1605"/>
      <c r="AT95" s="1605"/>
    </row>
    <row r="96" spans="1:16384" ht="12.95" customHeight="1">
      <c r="A96" s="1605"/>
      <c r="B96" s="1605"/>
      <c r="C96" s="1605"/>
      <c r="D96" s="1605"/>
      <c r="E96" s="1605"/>
      <c r="F96" s="1605"/>
      <c r="G96" s="1605"/>
      <c r="H96" s="1605"/>
      <c r="I96" s="1605"/>
      <c r="J96" s="1605"/>
      <c r="K96" s="1605"/>
      <c r="L96" s="1605"/>
      <c r="M96" s="1605"/>
      <c r="N96" s="1605"/>
      <c r="O96" s="1605"/>
      <c r="P96" s="1605"/>
      <c r="Q96" s="1605"/>
      <c r="R96" s="1605"/>
      <c r="S96" s="1605"/>
      <c r="T96" s="1605"/>
      <c r="U96" s="1605"/>
      <c r="V96" s="1605"/>
      <c r="W96" s="1605"/>
      <c r="X96" s="1605"/>
      <c r="Y96" s="1605"/>
      <c r="Z96" s="1605"/>
      <c r="AA96" s="1605"/>
      <c r="AB96" s="1605"/>
      <c r="AC96" s="1605"/>
      <c r="AD96" s="1605"/>
      <c r="AE96" s="1605"/>
      <c r="AF96" s="1605"/>
      <c r="AG96" s="1605"/>
      <c r="AH96" s="1605"/>
      <c r="AI96" s="1605"/>
      <c r="AJ96" s="1605"/>
      <c r="AK96" s="1605"/>
      <c r="AL96" s="1605"/>
      <c r="AM96" s="1605"/>
      <c r="AN96" s="1605"/>
      <c r="AO96" s="1605"/>
      <c r="AP96" s="1605"/>
      <c r="AQ96" s="1605"/>
      <c r="AR96" s="1605"/>
      <c r="AS96" s="1605"/>
      <c r="AT96" s="1605"/>
    </row>
    <row r="97" spans="1:46" ht="12.95" customHeight="1">
      <c r="A97" s="1605"/>
      <c r="B97" s="1605"/>
      <c r="C97" s="1605"/>
      <c r="D97" s="1605"/>
      <c r="E97" s="1605"/>
      <c r="F97" s="1605"/>
      <c r="G97" s="1605"/>
      <c r="H97" s="1605"/>
      <c r="I97" s="1605"/>
      <c r="J97" s="1605"/>
      <c r="K97" s="1605"/>
      <c r="L97" s="1605"/>
      <c r="M97" s="1605"/>
      <c r="N97" s="1605"/>
      <c r="O97" s="1605"/>
      <c r="P97" s="1605"/>
      <c r="Q97" s="1605"/>
      <c r="R97" s="1605"/>
      <c r="S97" s="1605"/>
      <c r="T97" s="1605"/>
      <c r="U97" s="1605"/>
      <c r="V97" s="1605"/>
      <c r="W97" s="1605"/>
      <c r="X97" s="1605"/>
      <c r="Y97" s="1605"/>
      <c r="Z97" s="1605"/>
      <c r="AA97" s="1605"/>
      <c r="AB97" s="1605"/>
      <c r="AC97" s="1605"/>
      <c r="AD97" s="1605"/>
      <c r="AE97" s="1605"/>
      <c r="AF97" s="1605"/>
      <c r="AG97" s="1605"/>
      <c r="AH97" s="1605"/>
      <c r="AI97" s="1605"/>
      <c r="AJ97" s="1605"/>
      <c r="AK97" s="1605"/>
      <c r="AL97" s="1605"/>
      <c r="AM97" s="1605"/>
      <c r="AN97" s="1605"/>
      <c r="AO97" s="1605"/>
      <c r="AP97" s="1605"/>
      <c r="AQ97" s="1605"/>
      <c r="AR97" s="1605"/>
      <c r="AS97" s="1605"/>
      <c r="AT97" s="1605"/>
    </row>
    <row r="98" spans="1:46" ht="12.95" customHeight="1">
      <c r="A98" s="1605"/>
      <c r="B98" s="1605"/>
      <c r="C98" s="1605"/>
      <c r="D98" s="1605"/>
      <c r="E98" s="1605"/>
      <c r="F98" s="1605"/>
      <c r="G98" s="1605"/>
      <c r="H98" s="1605"/>
      <c r="I98" s="1605"/>
      <c r="J98" s="1605"/>
      <c r="K98" s="1605"/>
      <c r="L98" s="1605"/>
      <c r="M98" s="1605"/>
      <c r="N98" s="1605"/>
      <c r="O98" s="1605"/>
      <c r="P98" s="1605"/>
      <c r="Q98" s="1605"/>
      <c r="R98" s="1605"/>
      <c r="S98" s="1605"/>
      <c r="T98" s="1605"/>
      <c r="U98" s="1605"/>
      <c r="V98" s="1605"/>
      <c r="W98" s="1605"/>
      <c r="X98" s="1605"/>
      <c r="Y98" s="1605"/>
      <c r="Z98" s="1605"/>
      <c r="AA98" s="1605"/>
      <c r="AB98" s="1605"/>
      <c r="AC98" s="1605"/>
      <c r="AD98" s="1605"/>
      <c r="AE98" s="1605"/>
      <c r="AF98" s="1605"/>
      <c r="AG98" s="1605"/>
      <c r="AH98" s="1605"/>
      <c r="AI98" s="1605"/>
      <c r="AJ98" s="1605"/>
      <c r="AK98" s="1605"/>
      <c r="AL98" s="1605"/>
      <c r="AM98" s="1605"/>
      <c r="AN98" s="1605"/>
      <c r="AO98" s="1605"/>
      <c r="AP98" s="1605"/>
      <c r="AQ98" s="1605"/>
      <c r="AR98" s="1605"/>
      <c r="AS98" s="1605"/>
      <c r="AT98" s="1605"/>
    </row>
    <row r="99" spans="1:46" ht="12.95" customHeight="1">
      <c r="A99" s="1605"/>
      <c r="B99" s="1605"/>
      <c r="C99" s="1605"/>
      <c r="D99" s="1605"/>
      <c r="E99" s="1605"/>
      <c r="F99" s="1605"/>
      <c r="G99" s="1605"/>
      <c r="H99" s="1605"/>
      <c r="I99" s="1605"/>
      <c r="J99" s="1605"/>
      <c r="K99" s="1605"/>
      <c r="L99" s="1605"/>
      <c r="M99" s="1605"/>
      <c r="N99" s="1605"/>
      <c r="O99" s="1605"/>
      <c r="P99" s="1605"/>
      <c r="Q99" s="1605"/>
      <c r="R99" s="1605"/>
      <c r="S99" s="1605"/>
      <c r="T99" s="1605"/>
      <c r="U99" s="1605"/>
      <c r="V99" s="1605"/>
      <c r="W99" s="1605"/>
      <c r="X99" s="1605"/>
      <c r="Y99" s="1605"/>
      <c r="Z99" s="1605"/>
      <c r="AA99" s="1605"/>
      <c r="AB99" s="1605"/>
      <c r="AC99" s="1605"/>
      <c r="AD99" s="1605"/>
      <c r="AE99" s="1605"/>
      <c r="AF99" s="1605"/>
      <c r="AG99" s="1605"/>
      <c r="AH99" s="1605"/>
      <c r="AI99" s="1605"/>
      <c r="AJ99" s="1605"/>
      <c r="AK99" s="1605"/>
      <c r="AL99" s="1605"/>
      <c r="AM99" s="1605"/>
      <c r="AN99" s="1605"/>
      <c r="AO99" s="1605"/>
      <c r="AP99" s="1605"/>
      <c r="AQ99" s="1605"/>
      <c r="AR99" s="1605"/>
      <c r="AS99" s="1605"/>
      <c r="AT99" s="1605"/>
    </row>
    <row r="100" spans="1:46" ht="19.899999999999999" customHeight="1">
      <c r="A100" s="1605"/>
      <c r="B100" s="1605"/>
      <c r="C100" s="1605"/>
      <c r="D100" s="1605"/>
      <c r="E100" s="1605"/>
      <c r="F100" s="1605"/>
      <c r="G100" s="1605"/>
      <c r="H100" s="1605"/>
      <c r="I100" s="1605"/>
      <c r="J100" s="1605"/>
      <c r="K100" s="1605"/>
      <c r="L100" s="1605"/>
      <c r="M100" s="1605"/>
      <c r="N100" s="1605"/>
      <c r="O100" s="1605"/>
      <c r="P100" s="1605"/>
      <c r="Q100" s="1605"/>
      <c r="R100" s="1605"/>
      <c r="S100" s="1605"/>
      <c r="T100" s="1605"/>
      <c r="U100" s="1605"/>
      <c r="V100" s="1605"/>
      <c r="W100" s="1605"/>
      <c r="X100" s="1605"/>
      <c r="Y100" s="1605"/>
      <c r="Z100" s="1605"/>
      <c r="AA100" s="1605"/>
      <c r="AB100" s="1605"/>
      <c r="AC100" s="1605"/>
      <c r="AD100" s="1605"/>
      <c r="AE100" s="1605"/>
      <c r="AF100" s="1605"/>
      <c r="AG100" s="1605"/>
      <c r="AH100" s="1605"/>
      <c r="AI100" s="1605"/>
      <c r="AJ100" s="1605"/>
      <c r="AK100" s="1605"/>
      <c r="AL100" s="1605"/>
      <c r="AM100" s="1605"/>
      <c r="AN100" s="1605"/>
      <c r="AO100" s="1605"/>
      <c r="AP100" s="1605"/>
      <c r="AQ100" s="1605"/>
      <c r="AR100" s="1605"/>
      <c r="AS100" s="1605"/>
      <c r="AT100" s="1605"/>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2253</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605" t="s">
        <v>2254</v>
      </c>
      <c r="B107" s="1605"/>
      <c r="C107" s="1605"/>
      <c r="D107" s="1605"/>
      <c r="E107" s="1605"/>
      <c r="F107" s="1605"/>
      <c r="G107" s="1605"/>
      <c r="H107" s="1605"/>
      <c r="I107" s="1605"/>
      <c r="J107" s="1605"/>
      <c r="K107" s="1605"/>
      <c r="L107" s="1605"/>
      <c r="M107" s="1605"/>
      <c r="N107" s="1605"/>
      <c r="O107" s="1605"/>
      <c r="P107" s="1605"/>
      <c r="Q107" s="1605"/>
      <c r="R107" s="1605"/>
      <c r="S107" s="1605"/>
      <c r="T107" s="1605"/>
      <c r="U107" s="1605"/>
      <c r="V107" s="1605"/>
      <c r="W107" s="1605"/>
      <c r="X107" s="1605"/>
      <c r="Y107" s="1605"/>
      <c r="Z107" s="1605"/>
      <c r="AA107" s="1605"/>
      <c r="AB107" s="1605"/>
      <c r="AC107" s="1605"/>
      <c r="AD107" s="1605"/>
      <c r="AE107" s="1605"/>
      <c r="AF107" s="1605"/>
      <c r="AG107" s="1605"/>
      <c r="AH107" s="1605"/>
      <c r="AI107" s="1605"/>
      <c r="AJ107" s="1605"/>
      <c r="AK107" s="1605"/>
      <c r="AL107" s="1605"/>
      <c r="AM107" s="1605"/>
      <c r="AN107" s="1605"/>
      <c r="AO107" s="1605"/>
      <c r="AP107" s="1605"/>
      <c r="AQ107" s="1605"/>
      <c r="AR107" s="1605"/>
      <c r="AS107" s="1605"/>
      <c r="AT107" s="1605"/>
    </row>
    <row r="108" spans="1:46" ht="12.95" customHeight="1">
      <c r="A108" s="1605"/>
      <c r="B108" s="1605"/>
      <c r="C108" s="1605"/>
      <c r="D108" s="1605"/>
      <c r="E108" s="1605"/>
      <c r="F108" s="1605"/>
      <c r="G108" s="1605"/>
      <c r="H108" s="1605"/>
      <c r="I108" s="1605"/>
      <c r="J108" s="1605"/>
      <c r="K108" s="1605"/>
      <c r="L108" s="1605"/>
      <c r="M108" s="1605"/>
      <c r="N108" s="1605"/>
      <c r="O108" s="1605"/>
      <c r="P108" s="1605"/>
      <c r="Q108" s="1605"/>
      <c r="R108" s="1605"/>
      <c r="S108" s="1605"/>
      <c r="T108" s="1605"/>
      <c r="U108" s="1605"/>
      <c r="V108" s="1605"/>
      <c r="W108" s="1605"/>
      <c r="X108" s="1605"/>
      <c r="Y108" s="1605"/>
      <c r="Z108" s="1605"/>
      <c r="AA108" s="1605"/>
      <c r="AB108" s="1605"/>
      <c r="AC108" s="1605"/>
      <c r="AD108" s="1605"/>
      <c r="AE108" s="1605"/>
      <c r="AF108" s="1605"/>
      <c r="AG108" s="1605"/>
      <c r="AH108" s="1605"/>
      <c r="AI108" s="1605"/>
      <c r="AJ108" s="1605"/>
      <c r="AK108" s="1605"/>
      <c r="AL108" s="1605"/>
      <c r="AM108" s="1605"/>
      <c r="AN108" s="1605"/>
      <c r="AO108" s="1605"/>
      <c r="AP108" s="1605"/>
      <c r="AQ108" s="1605"/>
      <c r="AR108" s="1605"/>
      <c r="AS108" s="1605"/>
      <c r="AT108" s="1605"/>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2255</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40">
        <v>3</v>
      </c>
      <c r="H115" s="1140"/>
      <c r="I115" s="41" t="s">
        <v>412</v>
      </c>
      <c r="J115" s="41"/>
      <c r="L115" s="1443" t="s">
        <v>2455</v>
      </c>
      <c r="M115" s="1444"/>
      <c r="N115" s="1444"/>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43" t="s">
        <v>2359</v>
      </c>
      <c r="D117" s="1444"/>
      <c r="E117" s="1444"/>
      <c r="F117" s="1444"/>
      <c r="G117" s="1444"/>
      <c r="H117" s="1444"/>
      <c r="I117" s="1444"/>
      <c r="J117" s="1444"/>
      <c r="K117" s="1444"/>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42" t="s">
        <v>2333</v>
      </c>
      <c r="Z118" s="1435"/>
      <c r="AA118" s="1435"/>
      <c r="AB118" s="1435"/>
      <c r="AC118" s="1435"/>
      <c r="AD118" s="1435"/>
      <c r="AE118" s="1435"/>
      <c r="AF118" s="1435"/>
      <c r="AG118" s="1435"/>
      <c r="AH118" s="1435"/>
      <c r="AI118" s="1435"/>
      <c r="AJ118" s="1435"/>
      <c r="AK118" s="143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42" t="s">
        <v>2334</v>
      </c>
      <c r="Z121" s="1435"/>
      <c r="AA121" s="1435"/>
      <c r="AB121" s="1435"/>
      <c r="AC121" s="1435"/>
      <c r="AD121" s="1435"/>
      <c r="AE121" s="1435"/>
      <c r="AF121" s="1435"/>
      <c r="AG121" s="1435"/>
      <c r="AH121" s="1435"/>
      <c r="AI121" s="1435"/>
      <c r="AJ121" s="1435"/>
      <c r="AK121" s="143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435" t="s">
        <v>2335</v>
      </c>
      <c r="P156" s="1435"/>
      <c r="Q156" s="1435"/>
      <c r="R156" s="1435"/>
      <c r="S156" s="1435"/>
      <c r="T156" s="1435"/>
      <c r="U156" s="1435"/>
      <c r="V156" s="1435"/>
      <c r="W156" s="1435"/>
      <c r="X156" s="1435"/>
      <c r="Y156" s="1435"/>
      <c r="Z156" s="1435"/>
      <c r="AA156" s="1435"/>
      <c r="AB156" s="1435"/>
      <c r="AC156" s="1435"/>
      <c r="AD156" s="1435"/>
      <c r="AE156" s="1435"/>
      <c r="AF156" s="1435"/>
      <c r="AG156" s="1435"/>
      <c r="AH156" s="1435"/>
      <c r="BT156" t="s">
        <v>79</v>
      </c>
    </row>
    <row r="157" spans="1:72" ht="12.95" customHeight="1">
      <c r="C157"/>
      <c r="D157" s="337" t="s">
        <v>543</v>
      </c>
      <c r="O157" s="1086" t="s">
        <v>2336</v>
      </c>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t="s">
        <v>709</v>
      </c>
      <c r="BN157" s="30" t="s">
        <v>422</v>
      </c>
      <c r="BT157" t="s">
        <v>28</v>
      </c>
    </row>
    <row r="158" spans="1:72" ht="12.95" customHeight="1">
      <c r="C158"/>
      <c r="D158" s="12" t="s">
        <v>544</v>
      </c>
      <c r="F158" s="12"/>
      <c r="G158" s="12"/>
      <c r="H158" s="12"/>
      <c r="I158" s="12"/>
      <c r="J158" s="12"/>
      <c r="K158" s="12"/>
      <c r="L158" s="12"/>
      <c r="M158" s="12"/>
      <c r="N158" s="12"/>
      <c r="O158" s="1434" t="s">
        <v>545</v>
      </c>
      <c r="P158" s="1434"/>
      <c r="Q158" s="1434"/>
      <c r="R158" s="1434"/>
      <c r="S158" s="1434"/>
      <c r="T158" s="1434"/>
      <c r="U158" s="1434"/>
      <c r="V158" s="1434"/>
      <c r="W158" s="1434"/>
      <c r="X158" s="1434"/>
      <c r="Y158" s="1434"/>
      <c r="Z158" s="1434"/>
      <c r="AA158" s="1434"/>
      <c r="AB158" s="1434"/>
      <c r="AC158" s="1434"/>
      <c r="AD158" s="1434"/>
      <c r="AE158" s="1434"/>
      <c r="AF158" s="1434"/>
      <c r="AG158" s="1434"/>
      <c r="AH158" s="1434"/>
      <c r="BN158" s="30" t="s">
        <v>423</v>
      </c>
      <c r="BT158" t="s">
        <v>29</v>
      </c>
    </row>
    <row r="159" spans="1:72" ht="12.95" customHeight="1">
      <c r="C159"/>
      <c r="D159" t="s">
        <v>647</v>
      </c>
      <c r="O159" s="1087" t="s">
        <v>2337</v>
      </c>
      <c r="P159" s="1087"/>
      <c r="Q159" s="1087"/>
      <c r="R159" s="1087"/>
      <c r="S159" s="1087"/>
      <c r="T159" s="1087"/>
      <c r="U159" s="1087"/>
      <c r="V159" s="1087"/>
      <c r="W159" s="1087"/>
      <c r="X159" s="1087"/>
      <c r="Y159" s="1087"/>
      <c r="Z159" s="1087"/>
      <c r="AA159" s="1087"/>
      <c r="AB159" s="1087"/>
      <c r="AC159" s="1087"/>
      <c r="AD159" s="1087"/>
      <c r="AE159" s="1087"/>
      <c r="AF159" s="1087"/>
      <c r="AG159" s="1087"/>
      <c r="AH159" s="1087"/>
      <c r="BN159" s="30" t="s">
        <v>73</v>
      </c>
      <c r="BT159" t="s">
        <v>384</v>
      </c>
    </row>
    <row r="160" spans="1:72" ht="12.95" customHeight="1">
      <c r="C160"/>
      <c r="D160" t="s">
        <v>648</v>
      </c>
      <c r="O160" s="1142" t="s">
        <v>2338</v>
      </c>
      <c r="P160" s="1435"/>
      <c r="Q160" s="1435"/>
      <c r="R160" s="1435"/>
      <c r="S160" s="1435"/>
      <c r="T160" s="1435"/>
      <c r="U160" s="1435"/>
      <c r="V160" s="1435"/>
      <c r="W160" s="1435"/>
      <c r="X160" s="1435"/>
      <c r="Y160" s="12"/>
      <c r="Z160" s="12"/>
      <c r="AA160" s="12"/>
      <c r="AB160" s="12"/>
      <c r="AC160" s="12"/>
      <c r="AD160" s="12"/>
      <c r="AE160" s="12"/>
      <c r="AF160" s="12"/>
      <c r="BN160" s="30" t="s">
        <v>75</v>
      </c>
      <c r="BT160" t="s">
        <v>385</v>
      </c>
    </row>
    <row r="161" spans="1:72" ht="12.95" customHeight="1">
      <c r="C161"/>
      <c r="D161" t="s">
        <v>649</v>
      </c>
      <c r="O161" s="1503">
        <v>95684</v>
      </c>
      <c r="P161" s="1503"/>
      <c r="Q161" s="1503"/>
      <c r="R161" s="1503"/>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505">
        <v>2092675647</v>
      </c>
      <c r="P162" s="1505"/>
      <c r="Q162" s="1505"/>
      <c r="R162" s="1505"/>
      <c r="S162" s="1505"/>
      <c r="T162" s="1505"/>
      <c r="V162" s="177" t="s">
        <v>12</v>
      </c>
      <c r="W162" s="1504"/>
      <c r="X162" s="1504"/>
      <c r="Y162" s="14"/>
      <c r="Z162" s="14"/>
      <c r="AA162" s="14"/>
      <c r="AB162" s="14"/>
      <c r="AC162" s="14"/>
      <c r="AD162" s="14"/>
      <c r="AE162" s="14"/>
      <c r="AF162" s="14"/>
      <c r="BJ162" t="s">
        <v>108</v>
      </c>
      <c r="BN162" s="30" t="s">
        <v>77</v>
      </c>
      <c r="BT162" t="s">
        <v>387</v>
      </c>
    </row>
    <row r="163" spans="1:72" ht="12.95" customHeight="1">
      <c r="C163"/>
      <c r="D163" t="s">
        <v>651</v>
      </c>
      <c r="O163" s="1505"/>
      <c r="P163" s="1505"/>
      <c r="Q163" s="1505"/>
      <c r="R163" s="1505"/>
      <c r="S163" s="1505"/>
      <c r="T163" s="1505"/>
      <c r="U163" s="14"/>
      <c r="V163" s="14"/>
      <c r="W163" s="14"/>
      <c r="X163" s="14"/>
      <c r="Y163" s="14"/>
      <c r="Z163" s="14"/>
      <c r="AA163" s="14"/>
      <c r="AB163" s="14"/>
      <c r="AC163" s="14"/>
      <c r="AD163" s="14"/>
      <c r="AE163" s="14"/>
      <c r="AF163" s="14"/>
      <c r="BN163" s="30" t="s">
        <v>476</v>
      </c>
      <c r="BT163" t="s">
        <v>388</v>
      </c>
    </row>
    <row r="164" spans="1:72" ht="12.95" customHeight="1">
      <c r="C164"/>
      <c r="D164" t="s">
        <v>652</v>
      </c>
      <c r="O164" s="1498" t="s">
        <v>2339</v>
      </c>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513" t="s">
        <v>2282</v>
      </c>
      <c r="E167" s="1513"/>
      <c r="F167" s="1513"/>
      <c r="G167" s="1513"/>
      <c r="H167" s="1513"/>
      <c r="I167" s="1513"/>
      <c r="J167" s="1513"/>
      <c r="K167" s="1513"/>
      <c r="L167" s="1513"/>
      <c r="M167" s="1513"/>
      <c r="N167" s="1513"/>
      <c r="O167" s="1513"/>
      <c r="P167" s="1513"/>
      <c r="Q167" s="1513"/>
      <c r="R167" s="1513"/>
      <c r="S167" s="1513"/>
      <c r="T167" s="1513"/>
      <c r="U167" s="1513"/>
      <c r="V167" s="1513"/>
      <c r="W167" s="1513"/>
      <c r="X167" s="1513"/>
      <c r="Y167" s="1513"/>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123" t="s">
        <v>379</v>
      </c>
      <c r="B169" s="1123"/>
      <c r="C169" s="1123"/>
      <c r="D169" s="1123"/>
      <c r="E169" s="1123"/>
      <c r="F169" s="1123"/>
      <c r="G169" s="1123"/>
      <c r="H169" s="1123"/>
      <c r="I169" s="1123"/>
      <c r="J169" s="1123"/>
      <c r="K169" s="1123"/>
      <c r="L169" s="1123"/>
      <c r="M169" s="1123"/>
      <c r="N169" s="1123"/>
      <c r="O169" s="1123"/>
      <c r="P169" s="1123"/>
      <c r="Q169" s="1123"/>
      <c r="R169" s="1123"/>
      <c r="S169" s="1123"/>
      <c r="T169" s="1123"/>
      <c r="U169" s="1123"/>
      <c r="V169" s="1123"/>
      <c r="W169" s="1123"/>
      <c r="X169" s="1123"/>
      <c r="Y169" s="1123"/>
      <c r="Z169" s="1123"/>
      <c r="AA169" s="1123"/>
      <c r="AB169" s="1123"/>
      <c r="AC169" s="1123"/>
      <c r="AD169" s="1123"/>
      <c r="AE169" s="1123"/>
      <c r="AF169" s="1123"/>
      <c r="AG169" s="1123"/>
      <c r="AH169" s="1123"/>
      <c r="AI169" s="1123"/>
      <c r="AJ169" s="1123"/>
      <c r="AK169" s="1123"/>
      <c r="AL169" s="1123"/>
      <c r="AM169" s="1123"/>
      <c r="AN169" s="1123"/>
      <c r="AO169" s="1123"/>
      <c r="AP169" s="1123"/>
      <c r="AQ169" s="1123"/>
      <c r="AR169" s="1123"/>
      <c r="AS169" s="1123"/>
      <c r="AT169" s="1123"/>
      <c r="AU169"/>
      <c r="BN169" s="264" t="s">
        <v>486</v>
      </c>
      <c r="BT169" t="s">
        <v>394</v>
      </c>
    </row>
    <row r="170" spans="1:72" s="956" customFormat="1" ht="12.95" customHeight="1">
      <c r="A170" s="1123"/>
      <c r="B170" s="1123"/>
      <c r="C170" s="1123"/>
      <c r="D170" s="1123"/>
      <c r="E170" s="1123"/>
      <c r="F170" s="1123"/>
      <c r="G170" s="1123"/>
      <c r="H170" s="1123"/>
      <c r="I170" s="1123"/>
      <c r="J170" s="1123"/>
      <c r="K170" s="1123"/>
      <c r="L170" s="1123"/>
      <c r="M170" s="1123"/>
      <c r="N170" s="1123"/>
      <c r="O170" s="1123"/>
      <c r="P170" s="1123"/>
      <c r="Q170" s="1123"/>
      <c r="R170" s="1123"/>
      <c r="S170" s="1123"/>
      <c r="T170" s="1123"/>
      <c r="U170" s="1123"/>
      <c r="V170" s="1123"/>
      <c r="W170" s="1123"/>
      <c r="X170" s="1123"/>
      <c r="Y170" s="1123"/>
      <c r="Z170" s="1123"/>
      <c r="AA170" s="1123"/>
      <c r="AB170" s="1123"/>
      <c r="AC170" s="1123"/>
      <c r="AD170" s="1123"/>
      <c r="AE170" s="1123"/>
      <c r="AF170" s="1123"/>
      <c r="AG170" s="1123"/>
      <c r="AH170" s="1123"/>
      <c r="AI170" s="1123"/>
      <c r="AJ170" s="1123"/>
      <c r="AK170" s="1123"/>
      <c r="AL170" s="1123"/>
      <c r="AM170" s="1123"/>
      <c r="AN170" s="1123"/>
      <c r="AO170" s="1123"/>
      <c r="AP170" s="1123"/>
      <c r="AQ170" s="1123"/>
      <c r="AR170" s="1123"/>
      <c r="AS170" s="1123"/>
      <c r="AT170" s="1123"/>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36" t="s">
        <v>505</v>
      </c>
      <c r="K173" s="1436"/>
      <c r="L173" s="1436"/>
      <c r="M173" s="1436"/>
      <c r="N173" s="1436"/>
      <c r="O173" s="1436"/>
      <c r="P173" s="1436"/>
      <c r="Q173" s="1436"/>
      <c r="R173" s="1436"/>
      <c r="S173" s="1436"/>
      <c r="U173" s="32"/>
      <c r="X173" s="32"/>
      <c r="BN173" s="30" t="s">
        <v>491</v>
      </c>
      <c r="BT173" t="s">
        <v>398</v>
      </c>
    </row>
    <row r="174" spans="1:72" ht="12.95" customHeight="1">
      <c r="C174" s="31"/>
      <c r="D174" t="s">
        <v>438</v>
      </c>
      <c r="U174" s="1084" t="s">
        <v>108</v>
      </c>
      <c r="V174" s="1084"/>
      <c r="BN174" s="30" t="s">
        <v>594</v>
      </c>
      <c r="BT174" t="s">
        <v>399</v>
      </c>
    </row>
    <row r="175" spans="1:72" ht="12.95" customHeight="1">
      <c r="C175" s="12"/>
      <c r="D175" s="33"/>
      <c r="E175" t="s">
        <v>230</v>
      </c>
      <c r="O175" s="34"/>
      <c r="P175" t="s">
        <v>2091</v>
      </c>
      <c r="T175" s="34" t="s">
        <v>231</v>
      </c>
      <c r="U175" s="1301">
        <v>24</v>
      </c>
      <c r="V175" s="1301"/>
      <c r="W175" s="1" t="s">
        <v>232</v>
      </c>
      <c r="X175" s="1502">
        <v>113</v>
      </c>
      <c r="Y175" s="1502"/>
      <c r="BN175" s="30" t="s">
        <v>595</v>
      </c>
      <c r="BT175" t="s">
        <v>400</v>
      </c>
    </row>
    <row r="176" spans="1:72" ht="12.95" customHeight="1">
      <c r="C176" s="31"/>
      <c r="D176" t="s">
        <v>279</v>
      </c>
      <c r="U176" s="1084" t="s">
        <v>482</v>
      </c>
      <c r="V176" s="1084"/>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515"/>
      <c r="K178" s="1515"/>
      <c r="L178" s="367" t="s">
        <v>232</v>
      </c>
      <c r="M178" s="1147"/>
      <c r="N178" s="1147"/>
      <c r="O178" s="358"/>
      <c r="P178" s="358"/>
      <c r="Q178" s="358"/>
      <c r="R178" s="358"/>
      <c r="U178" s="358" t="s">
        <v>1233</v>
      </c>
      <c r="V178" s="358"/>
      <c r="W178" s="358"/>
      <c r="X178" s="358"/>
      <c r="Y178" s="358"/>
      <c r="Z178" s="358"/>
      <c r="AA178" s="358"/>
      <c r="AB178" s="358"/>
      <c r="AD178" s="1516"/>
      <c r="AE178" s="1516"/>
      <c r="AF178" s="1516"/>
      <c r="AG178" s="1516"/>
      <c r="AH178" s="1516"/>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084" t="s">
        <v>482</v>
      </c>
      <c r="Z180" s="1485"/>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088" t="str">
        <f>H17</f>
        <v>Amador Permanent Supportive Housing</v>
      </c>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BC184" t="s">
        <v>120</v>
      </c>
      <c r="BN184" s="30" t="s">
        <v>574</v>
      </c>
      <c r="BT184" t="s">
        <v>409</v>
      </c>
    </row>
    <row r="185" spans="1:72" ht="12.95" customHeight="1">
      <c r="C185" s="29"/>
      <c r="D185" t="s">
        <v>429</v>
      </c>
      <c r="I185" s="1085" t="s">
        <v>2340</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121</v>
      </c>
      <c r="BN185" s="30" t="s">
        <v>575</v>
      </c>
      <c r="BT185" t="s">
        <v>839</v>
      </c>
    </row>
    <row r="186" spans="1:72" ht="12.95" customHeight="1">
      <c r="C186" s="29"/>
      <c r="E186" t="s">
        <v>62</v>
      </c>
      <c r="BN186" s="30" t="s">
        <v>576</v>
      </c>
      <c r="BT186" t="s">
        <v>840</v>
      </c>
    </row>
    <row r="187" spans="1:72" ht="12.95" customHeight="1">
      <c r="C187" s="29"/>
      <c r="E187" s="1382" t="s">
        <v>2341</v>
      </c>
      <c r="F187" s="1382"/>
      <c r="G187" s="1382"/>
      <c r="H187" s="1382"/>
      <c r="I187" s="1382"/>
      <c r="J187" s="1382"/>
      <c r="K187" s="1382"/>
      <c r="L187" s="1382"/>
      <c r="M187" s="1382"/>
      <c r="N187" s="1382"/>
      <c r="O187" s="1382"/>
      <c r="P187" s="1382"/>
      <c r="Q187" s="1382"/>
      <c r="R187" s="1382"/>
      <c r="S187" s="1382"/>
      <c r="T187" s="1382"/>
      <c r="U187" s="1382"/>
      <c r="V187" s="1382"/>
      <c r="W187" s="1382"/>
      <c r="X187" s="1382"/>
      <c r="Y187" s="1382"/>
      <c r="Z187" s="1382"/>
      <c r="AA187" s="1382"/>
      <c r="AB187" s="1382"/>
      <c r="AC187" s="1382"/>
      <c r="AD187" s="1382"/>
      <c r="AE187" s="1382"/>
      <c r="BN187" s="30" t="s">
        <v>577</v>
      </c>
      <c r="BT187" t="s">
        <v>841</v>
      </c>
    </row>
    <row r="188" spans="1:72" ht="12.95" customHeight="1">
      <c r="C188" s="29"/>
      <c r="E188" s="1383"/>
      <c r="F188" s="1383"/>
      <c r="G188" s="1383"/>
      <c r="H188" s="1383"/>
      <c r="I188" s="1383"/>
      <c r="J188" s="1383"/>
      <c r="K188" s="1383"/>
      <c r="L188" s="1383"/>
      <c r="M188" s="1383"/>
      <c r="N188" s="1383"/>
      <c r="O188" s="1383"/>
      <c r="P188" s="1383"/>
      <c r="Q188" s="1383"/>
      <c r="R188" s="1383"/>
      <c r="S188" s="1383"/>
      <c r="T188" s="1383"/>
      <c r="U188" s="1383"/>
      <c r="V188" s="1383"/>
      <c r="W188" s="1383"/>
      <c r="X188" s="1383"/>
      <c r="Y188" s="1383"/>
      <c r="Z188" s="1383"/>
      <c r="AA188" s="1383"/>
      <c r="AB188" s="1383"/>
      <c r="AC188" s="1383"/>
      <c r="AD188" s="1383"/>
      <c r="AE188" s="1383"/>
      <c r="BN188" s="30" t="s">
        <v>579</v>
      </c>
      <c r="BT188" t="s">
        <v>842</v>
      </c>
    </row>
    <row r="189" spans="1:72" ht="12.95" customHeight="1">
      <c r="C189" s="29"/>
      <c r="D189" t="s">
        <v>430</v>
      </c>
      <c r="I189" s="1087" t="s">
        <v>2338</v>
      </c>
      <c r="J189" s="1087"/>
      <c r="K189" s="1087"/>
      <c r="L189" s="1087"/>
      <c r="M189" s="1087"/>
      <c r="N189" s="1087"/>
      <c r="O189" s="1087"/>
      <c r="P189" s="1087"/>
      <c r="Q189" t="s">
        <v>432</v>
      </c>
      <c r="T189" s="1087" t="s">
        <v>384</v>
      </c>
      <c r="U189" s="1087"/>
      <c r="V189" s="1087"/>
      <c r="W189" s="1087"/>
      <c r="X189" s="1087"/>
      <c r="Y189" s="1087"/>
      <c r="Z189" s="1087"/>
      <c r="AA189" s="1087"/>
      <c r="AB189" s="1087"/>
      <c r="AC189" s="1087"/>
      <c r="AD189" s="1087"/>
      <c r="AE189" s="1087"/>
      <c r="BC189" t="s">
        <v>79</v>
      </c>
      <c r="BH189" s="41" t="s">
        <v>124</v>
      </c>
      <c r="BN189" s="30" t="s">
        <v>580</v>
      </c>
      <c r="BT189" t="s">
        <v>109</v>
      </c>
    </row>
    <row r="190" spans="1:72" ht="12.95" customHeight="1">
      <c r="C190" s="29"/>
      <c r="D190" t="s">
        <v>433</v>
      </c>
      <c r="I190" s="1085">
        <v>95685</v>
      </c>
      <c r="J190" s="1085"/>
      <c r="K190" s="1085"/>
      <c r="L190" s="1085"/>
      <c r="M190" s="1085"/>
      <c r="N190" s="1085"/>
      <c r="O190" t="s">
        <v>435</v>
      </c>
      <c r="T190" s="1507">
        <v>3.03</v>
      </c>
      <c r="U190" s="1507"/>
      <c r="V190" s="1507"/>
      <c r="W190" s="1507"/>
      <c r="X190" s="1507"/>
      <c r="Y190" s="1507"/>
      <c r="Z190" s="1507"/>
      <c r="AA190" s="1507"/>
      <c r="AB190" s="1507"/>
      <c r="AC190" s="1507"/>
      <c r="AD190" s="1507"/>
      <c r="AE190" s="1507"/>
      <c r="BC190" t="s">
        <v>663</v>
      </c>
      <c r="BH190" t="s">
        <v>663</v>
      </c>
      <c r="BN190" s="30" t="s">
        <v>421</v>
      </c>
      <c r="BT190" t="s">
        <v>110</v>
      </c>
    </row>
    <row r="191" spans="1:72" ht="12.95" customHeight="1">
      <c r="C191" s="29"/>
      <c r="D191" t="s">
        <v>81</v>
      </c>
      <c r="N191" s="1382" t="s">
        <v>2342</v>
      </c>
      <c r="O191" s="1382"/>
      <c r="P191" s="1382"/>
      <c r="Q191" s="1382"/>
      <c r="R191" s="1382"/>
      <c r="S191" s="1382"/>
      <c r="T191" s="1382"/>
      <c r="U191" s="1382"/>
      <c r="V191" s="1382"/>
      <c r="W191" s="1382"/>
      <c r="X191" s="1382"/>
      <c r="Y191" s="1382"/>
      <c r="Z191" s="1382"/>
      <c r="AA191" s="1382"/>
      <c r="AB191" s="1382"/>
      <c r="AC191" s="1382"/>
      <c r="AD191" s="1382"/>
      <c r="AE191" s="1382"/>
      <c r="BC191" t="s">
        <v>1423</v>
      </c>
      <c r="BH191" t="s">
        <v>1423</v>
      </c>
      <c r="BN191" s="30" t="s">
        <v>582</v>
      </c>
      <c r="BT191" t="s">
        <v>111</v>
      </c>
    </row>
    <row r="192" spans="1:72" ht="12.95" customHeight="1">
      <c r="C192" s="29"/>
      <c r="M192" s="49"/>
      <c r="N192" s="1383"/>
      <c r="O192" s="1383"/>
      <c r="P192" s="1383"/>
      <c r="Q192" s="1383"/>
      <c r="R192" s="1383"/>
      <c r="S192" s="1383"/>
      <c r="T192" s="1383"/>
      <c r="U192" s="1383"/>
      <c r="V192" s="1383"/>
      <c r="W192" s="1383"/>
      <c r="X192" s="1383"/>
      <c r="Y192" s="1383"/>
      <c r="Z192" s="1383"/>
      <c r="AA192" s="1383"/>
      <c r="AB192" s="1383"/>
      <c r="AC192" s="1383"/>
      <c r="AD192" s="1383"/>
      <c r="AE192" s="1383"/>
      <c r="BC192" t="s">
        <v>664</v>
      </c>
      <c r="BH192" t="s">
        <v>615</v>
      </c>
      <c r="BN192" s="30" t="s">
        <v>583</v>
      </c>
      <c r="BT192" t="s">
        <v>112</v>
      </c>
    </row>
    <row r="193" spans="1:73" ht="12.95" customHeight="1">
      <c r="C193" s="29"/>
      <c r="D193" t="s">
        <v>436</v>
      </c>
      <c r="T193" s="1084" t="s">
        <v>108</v>
      </c>
      <c r="U193" s="1084"/>
      <c r="W193" s="41" t="s">
        <v>1875</v>
      </c>
      <c r="AA193" s="1509">
        <v>2025</v>
      </c>
      <c r="AB193" s="1509"/>
      <c r="AC193" s="1509"/>
      <c r="BC193" t="s">
        <v>564</v>
      </c>
      <c r="BH193" s="5" t="s">
        <v>1428</v>
      </c>
      <c r="BN193" s="30" t="s">
        <v>584</v>
      </c>
      <c r="BT193" t="s">
        <v>113</v>
      </c>
    </row>
    <row r="194" spans="1:73" ht="12.95" customHeight="1">
      <c r="C194" s="29"/>
      <c r="D194" t="s">
        <v>118</v>
      </c>
      <c r="T194" s="1093" t="s">
        <v>482</v>
      </c>
      <c r="U194" s="1093"/>
      <c r="W194" t="s">
        <v>63</v>
      </c>
      <c r="AI194" s="1084" t="s">
        <v>482</v>
      </c>
      <c r="AJ194" s="1084"/>
      <c r="AX194" s="5" t="s">
        <v>124</v>
      </c>
      <c r="BC194" t="s">
        <v>615</v>
      </c>
      <c r="BN194" s="30" t="s">
        <v>753</v>
      </c>
      <c r="BT194" t="s">
        <v>114</v>
      </c>
    </row>
    <row r="195" spans="1:73" ht="12.95" customHeight="1">
      <c r="C195" s="29"/>
      <c r="D195" s="41" t="s">
        <v>1726</v>
      </c>
      <c r="T195" s="1093" t="s">
        <v>482</v>
      </c>
      <c r="U195" s="1093"/>
      <c r="X195" s="794" t="s">
        <v>2093</v>
      </c>
      <c r="AX195" s="5" t="s">
        <v>1150</v>
      </c>
      <c r="BN195" s="30" t="s">
        <v>754</v>
      </c>
      <c r="BT195" t="s">
        <v>115</v>
      </c>
    </row>
    <row r="196" spans="1:73" ht="12.95" customHeight="1">
      <c r="C196" s="29"/>
      <c r="D196" s="5" t="s">
        <v>1155</v>
      </c>
      <c r="T196" s="1093" t="s">
        <v>482</v>
      </c>
      <c r="U196" s="1093"/>
      <c r="AK196" s="1511"/>
      <c r="AL196" s="1511"/>
      <c r="AX196" s="41" t="s">
        <v>2184</v>
      </c>
      <c r="BN196" s="30" t="s">
        <v>755</v>
      </c>
      <c r="BT196" t="s">
        <v>116</v>
      </c>
    </row>
    <row r="197" spans="1:73" ht="12.95" customHeight="1">
      <c r="C197" s="29"/>
      <c r="D197" s="41" t="s">
        <v>1876</v>
      </c>
      <c r="T197" s="1084" t="s">
        <v>482</v>
      </c>
      <c r="U197" s="1084"/>
      <c r="AX197" s="5" t="s">
        <v>1151</v>
      </c>
      <c r="BC197" t="s">
        <v>79</v>
      </c>
      <c r="BN197" s="30" t="s">
        <v>756</v>
      </c>
      <c r="BT197" t="s">
        <v>117</v>
      </c>
    </row>
    <row r="198" spans="1:73" ht="12.95" customHeight="1">
      <c r="C198" s="29"/>
      <c r="D198" s="41" t="s">
        <v>1904</v>
      </c>
      <c r="W198" s="1380" t="s">
        <v>482</v>
      </c>
      <c r="X198" s="1084"/>
      <c r="AX198" s="5" t="s">
        <v>1152</v>
      </c>
      <c r="BC198" t="s">
        <v>1103</v>
      </c>
      <c r="BN198" s="30" t="s">
        <v>757</v>
      </c>
      <c r="BT198" t="s">
        <v>803</v>
      </c>
    </row>
    <row r="199" spans="1:73" ht="12.95" customHeight="1">
      <c r="C199" s="29"/>
      <c r="L199" s="307"/>
      <c r="M199" s="307"/>
      <c r="N199" s="307"/>
      <c r="O199" s="307"/>
      <c r="P199" s="307"/>
      <c r="Q199" s="918" t="s">
        <v>2094</v>
      </c>
      <c r="R199" s="1142" t="s">
        <v>2007</v>
      </c>
      <c r="S199" s="1142"/>
      <c r="T199" s="1142"/>
      <c r="U199" s="1142"/>
      <c r="V199" s="1142"/>
      <c r="W199" s="1142"/>
      <c r="X199" s="1142"/>
      <c r="Y199" s="1142"/>
      <c r="Z199" s="1142"/>
      <c r="AA199" s="1142"/>
      <c r="AB199" s="1142"/>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088" t="str">
        <f>IF(AND(M25&gt;0,M27&gt;0),"Federal and State","Federal Only")</f>
        <v>Federal Only</v>
      </c>
      <c r="E203" s="1088"/>
      <c r="F203" s="1088"/>
      <c r="G203" s="1088"/>
      <c r="H203" s="1088"/>
      <c r="I203" s="1088"/>
      <c r="J203" s="1088"/>
      <c r="K203" s="1088"/>
      <c r="L203" s="1088"/>
      <c r="M203" s="1088"/>
      <c r="P203" s="1514">
        <f>M25</f>
        <v>1391118</v>
      </c>
      <c r="Q203" s="1514"/>
      <c r="R203" s="1514"/>
      <c r="S203" s="1514"/>
      <c r="T203" s="1514"/>
      <c r="U203" s="1514"/>
      <c r="W203" s="1514">
        <f>M27</f>
        <v>0</v>
      </c>
      <c r="X203" s="1514"/>
      <c r="Y203" s="1514"/>
      <c r="Z203" s="1514"/>
      <c r="AA203" s="1514"/>
      <c r="AB203" s="1514"/>
      <c r="AV203" t="s">
        <v>124</v>
      </c>
      <c r="AX203" s="5" t="s">
        <v>564</v>
      </c>
      <c r="BC203" t="s">
        <v>1432</v>
      </c>
      <c r="BN203" s="30" t="s">
        <v>661</v>
      </c>
      <c r="BT203" s="40" t="s">
        <v>808</v>
      </c>
      <c r="BU203" s="21"/>
    </row>
    <row r="204" spans="1:73" ht="12.95" customHeight="1">
      <c r="C204" s="29"/>
      <c r="P204" s="1430" t="s">
        <v>175</v>
      </c>
      <c r="Q204" s="1430"/>
      <c r="R204" s="1430"/>
      <c r="S204" s="1430"/>
      <c r="T204" s="1430"/>
      <c r="U204" s="1430"/>
      <c r="V204" s="36"/>
      <c r="W204" s="1430" t="s">
        <v>176</v>
      </c>
      <c r="X204" s="1430"/>
      <c r="Y204" s="1430"/>
      <c r="Z204" s="1430"/>
      <c r="AA204" s="1430"/>
      <c r="AB204" s="1430"/>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5" customHeight="1">
      <c r="C208" s="29"/>
      <c r="D208" s="1435" t="s">
        <v>2456</v>
      </c>
      <c r="E208" s="1435"/>
      <c r="F208" s="1435"/>
      <c r="G208" s="1435"/>
      <c r="H208" s="1435"/>
      <c r="I208" s="1435"/>
      <c r="J208" s="1435"/>
      <c r="K208" s="1435"/>
      <c r="L208" s="1435"/>
      <c r="M208" s="143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42" t="s">
        <v>1151</v>
      </c>
      <c r="E211" s="1435"/>
      <c r="F211" s="1435"/>
      <c r="G211" s="1435"/>
      <c r="H211" s="1435"/>
      <c r="I211" s="1435"/>
      <c r="J211" s="1435"/>
      <c r="K211" s="1435"/>
      <c r="L211" s="1435"/>
      <c r="M211" s="1435"/>
      <c r="N211" s="1435"/>
      <c r="O211" s="1435"/>
      <c r="P211" s="1435"/>
      <c r="X211" s="800"/>
      <c r="Y211" s="1508" t="s">
        <v>482</v>
      </c>
      <c r="Z211" s="1508"/>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506" t="s">
        <v>664</v>
      </c>
      <c r="E214" s="1506"/>
      <c r="F214" s="1506"/>
      <c r="G214" s="1506"/>
      <c r="H214" s="1506"/>
      <c r="I214" s="1506"/>
      <c r="J214" s="1506"/>
      <c r="AX214" t="s">
        <v>2007</v>
      </c>
      <c r="BC214" t="s">
        <v>630</v>
      </c>
      <c r="BN214" s="30" t="s">
        <v>443</v>
      </c>
      <c r="BT214" s="40" t="s">
        <v>817</v>
      </c>
    </row>
    <row r="215" spans="1:72" ht="12.95" customHeight="1">
      <c r="C215"/>
      <c r="D215" s="35"/>
      <c r="E215" s="41" t="s">
        <v>2297</v>
      </c>
      <c r="S215" s="1512">
        <v>35</v>
      </c>
      <c r="T215" s="1512"/>
      <c r="V215" s="1510">
        <f>IFERROR(S215/AG441,"")</f>
        <v>0.77777777777777779</v>
      </c>
      <c r="W215" s="1510"/>
      <c r="AX215" t="s">
        <v>2008</v>
      </c>
      <c r="BC215" t="s">
        <v>627</v>
      </c>
    </row>
    <row r="216" spans="1:72" ht="12.95" customHeight="1">
      <c r="C216"/>
      <c r="D216" s="35"/>
      <c r="E216" s="934" t="s">
        <v>2292</v>
      </c>
      <c r="AX216" t="s">
        <v>2009</v>
      </c>
      <c r="BC216" t="s">
        <v>744</v>
      </c>
    </row>
    <row r="217" spans="1:72" ht="12.95" customHeight="1">
      <c r="C217"/>
      <c r="E217" s="1446" t="s">
        <v>124</v>
      </c>
      <c r="F217" s="1446"/>
      <c r="G217" s="1446"/>
      <c r="H217" s="1446"/>
      <c r="I217" s="1446"/>
      <c r="J217" s="1446"/>
      <c r="K217" s="1446"/>
      <c r="L217" s="1446"/>
      <c r="M217" s="1446"/>
      <c r="N217" s="1446"/>
      <c r="O217" s="1446"/>
      <c r="P217" s="1446"/>
      <c r="Q217" s="1446"/>
      <c r="R217" s="1446"/>
      <c r="S217" s="1446"/>
      <c r="T217" s="1446"/>
      <c r="U217" s="1446"/>
      <c r="V217" s="1446"/>
      <c r="W217" s="1446"/>
      <c r="X217" s="1446"/>
      <c r="Y217" s="1446"/>
      <c r="Z217" s="1446"/>
      <c r="AA217" s="49"/>
      <c r="AB217" s="49"/>
      <c r="AC217" s="49"/>
      <c r="AD217" s="49"/>
      <c r="AE217" s="49"/>
      <c r="AF217" s="49"/>
      <c r="AX217" s="41" t="s">
        <v>2011</v>
      </c>
      <c r="BC217" t="s">
        <v>628</v>
      </c>
    </row>
    <row r="218" spans="1:72" ht="12.95" customHeight="1">
      <c r="C218"/>
      <c r="E218" s="41" t="s">
        <v>1947</v>
      </c>
      <c r="AA218" s="49"/>
      <c r="AC218" s="1442"/>
      <c r="AD218" s="1442"/>
      <c r="AE218" s="1442"/>
      <c r="AF218" s="1442"/>
      <c r="AG218" s="1442"/>
      <c r="AH218" s="1442"/>
      <c r="AI218" s="1442"/>
      <c r="AJ218" s="1442"/>
      <c r="AK218" s="1442"/>
      <c r="AL218" s="1442"/>
      <c r="AM218" s="1442"/>
      <c r="BC218" t="s">
        <v>629</v>
      </c>
      <c r="BI218" s="39"/>
    </row>
    <row r="219" spans="1:72" ht="12.95" customHeight="1">
      <c r="C219"/>
      <c r="E219" s="41" t="s">
        <v>1948</v>
      </c>
      <c r="AA219" s="49"/>
      <c r="AC219" s="1442"/>
      <c r="AD219" s="1442"/>
      <c r="AE219" s="1442"/>
      <c r="AF219" s="1442"/>
      <c r="AG219" s="1442"/>
      <c r="AH219" s="1442"/>
      <c r="AI219" s="1442"/>
      <c r="AJ219" s="1442"/>
      <c r="AK219" s="1442"/>
      <c r="AL219" s="1442"/>
      <c r="AM219" s="1442"/>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42" t="s">
        <v>79</v>
      </c>
      <c r="E223" s="1142"/>
      <c r="F223" s="1142"/>
      <c r="G223" s="1142"/>
      <c r="H223" s="1142"/>
      <c r="I223" s="1142"/>
      <c r="J223" s="1142"/>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21"/>
      <c r="AK223" s="21"/>
      <c r="AL223" s="21"/>
    </row>
    <row r="224" spans="1:72" ht="12.95" customHeight="1">
      <c r="C224"/>
      <c r="AJ224" s="5"/>
    </row>
    <row r="225" spans="1:59" ht="12.95" customHeight="1">
      <c r="C225"/>
      <c r="D225" t="s">
        <v>557</v>
      </c>
      <c r="O225" s="1084">
        <v>5</v>
      </c>
      <c r="P225" s="1084"/>
    </row>
    <row r="226" spans="1:59" ht="12.95" customHeight="1">
      <c r="C226"/>
      <c r="D226" t="s">
        <v>558</v>
      </c>
      <c r="O226" s="1084">
        <v>1</v>
      </c>
      <c r="P226" s="1084"/>
      <c r="BB226" s="5" t="s">
        <v>638</v>
      </c>
      <c r="BG226" s="407">
        <f>IF(AND(AND($M$251="for profit",$M$259="for profit",$M$267="nonprofit")),2,0)</f>
        <v>0</v>
      </c>
    </row>
    <row r="227" spans="1:59" ht="12.95" customHeight="1">
      <c r="C227"/>
      <c r="D227" t="s">
        <v>559</v>
      </c>
      <c r="O227" s="1084">
        <v>4</v>
      </c>
      <c r="P227" s="1084"/>
      <c r="BB227" s="5" t="s">
        <v>638</v>
      </c>
      <c r="BG227" s="407">
        <f>IF(AND(AND($M$251="for profit",$M$259="nonprofit",$M$267="for profit")),2,0)</f>
        <v>2</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123" t="s">
        <v>495</v>
      </c>
      <c r="B231" s="1123"/>
      <c r="C231" s="1123"/>
      <c r="D231" s="1123"/>
      <c r="E231" s="1123"/>
      <c r="F231" s="1123"/>
      <c r="G231" s="1123"/>
      <c r="H231" s="1123"/>
      <c r="I231" s="1123"/>
      <c r="J231" s="1123"/>
      <c r="K231" s="1123"/>
      <c r="L231" s="1123"/>
      <c r="M231" s="1123"/>
      <c r="N231" s="1123"/>
      <c r="O231" s="1123"/>
      <c r="P231" s="1123"/>
      <c r="Q231" s="1123"/>
      <c r="R231" s="1123"/>
      <c r="S231" s="1123"/>
      <c r="T231" s="1123"/>
      <c r="U231" s="1123"/>
      <c r="V231" s="1123"/>
      <c r="W231" s="1123"/>
      <c r="X231" s="1123"/>
      <c r="Y231" s="1123"/>
      <c r="Z231" s="1123"/>
      <c r="AA231" s="1123"/>
      <c r="AB231" s="1123"/>
      <c r="AC231" s="1123"/>
      <c r="AD231" s="1123"/>
      <c r="AE231" s="1123"/>
      <c r="AF231" s="1123"/>
      <c r="AG231" s="1123"/>
      <c r="AH231" s="1123"/>
      <c r="AI231" s="1123"/>
      <c r="AJ231" s="1123"/>
      <c r="AK231" s="1123"/>
      <c r="AL231" s="1123"/>
      <c r="AM231" s="1123"/>
      <c r="AN231" s="1123"/>
      <c r="AO231" s="1123"/>
      <c r="AP231" s="1123"/>
      <c r="AQ231" s="1123"/>
      <c r="AR231" s="1123"/>
      <c r="AS231" s="1123"/>
      <c r="AT231" s="1123"/>
    </row>
    <row r="232" spans="1:59" ht="12.95" customHeight="1">
      <c r="A232" s="1123"/>
      <c r="B232" s="1123"/>
      <c r="C232" s="1123"/>
      <c r="D232" s="1123"/>
      <c r="E232" s="1123"/>
      <c r="F232" s="1123"/>
      <c r="G232" s="1123"/>
      <c r="H232" s="1123"/>
      <c r="I232" s="1123"/>
      <c r="J232" s="1123"/>
      <c r="K232" s="1123"/>
      <c r="L232" s="1123"/>
      <c r="M232" s="1123"/>
      <c r="N232" s="1123"/>
      <c r="O232" s="1123"/>
      <c r="P232" s="1123"/>
      <c r="Q232" s="1123"/>
      <c r="R232" s="1123"/>
      <c r="S232" s="1123"/>
      <c r="T232" s="1123"/>
      <c r="U232" s="1123"/>
      <c r="V232" s="1123"/>
      <c r="W232" s="1123"/>
      <c r="X232" s="1123"/>
      <c r="Y232" s="1123"/>
      <c r="Z232" s="1123"/>
      <c r="AA232" s="1123"/>
      <c r="AB232" s="1123"/>
      <c r="AC232" s="1123"/>
      <c r="AD232" s="1123"/>
      <c r="AE232" s="1123"/>
      <c r="AF232" s="1123"/>
      <c r="AG232" s="1123"/>
      <c r="AH232" s="1123"/>
      <c r="AI232" s="1123"/>
      <c r="AJ232" s="1123"/>
      <c r="AK232" s="1123"/>
      <c r="AL232" s="1123"/>
      <c r="AM232" s="1123"/>
      <c r="AN232" s="1123"/>
      <c r="AO232" s="1123"/>
      <c r="AP232" s="1123"/>
      <c r="AQ232" s="1123"/>
      <c r="AR232" s="1123"/>
      <c r="AS232" s="1123"/>
      <c r="AT232" s="1123"/>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2" t="str">
        <f>H15</f>
        <v>Sutter Creek Bowers Road LP</v>
      </c>
      <c r="N235" s="1432"/>
      <c r="O235" s="1432"/>
      <c r="P235" s="1432"/>
      <c r="Q235" s="1432"/>
      <c r="R235" s="1432"/>
      <c r="S235" s="1432"/>
      <c r="T235" s="1432"/>
      <c r="U235" s="1432"/>
      <c r="V235" s="1432"/>
      <c r="W235" s="1432"/>
      <c r="X235" s="1432"/>
      <c r="Y235" s="1432"/>
      <c r="Z235" s="1432"/>
      <c r="AA235" s="1432"/>
      <c r="AB235" s="1432"/>
      <c r="AC235" s="1432"/>
      <c r="AD235" s="1432"/>
      <c r="AE235" s="1432"/>
      <c r="AF235" s="1432"/>
      <c r="AG235" s="1432"/>
      <c r="AH235" s="1432"/>
      <c r="AI235" s="1432"/>
      <c r="AJ235" s="1432"/>
      <c r="AK235" s="1432"/>
      <c r="BB235" s="3"/>
      <c r="BG235" s="5"/>
    </row>
    <row r="236" spans="1:59" ht="12.95" customHeight="1">
      <c r="C236"/>
      <c r="D236" s="5" t="s">
        <v>372</v>
      </c>
      <c r="E236" s="5"/>
      <c r="F236" s="5"/>
      <c r="G236" s="5"/>
      <c r="H236" s="5"/>
      <c r="I236" s="5"/>
      <c r="J236" s="5"/>
      <c r="K236" s="5"/>
      <c r="M236" s="1435" t="s">
        <v>2343</v>
      </c>
      <c r="N236" s="1435"/>
      <c r="O236" s="1435"/>
      <c r="P236" s="1435"/>
      <c r="Q236" s="1435"/>
      <c r="R236" s="1435"/>
      <c r="S236" s="1435"/>
      <c r="T236" s="1435"/>
      <c r="U236" s="1435"/>
      <c r="V236" s="1435"/>
      <c r="W236" s="1435"/>
      <c r="X236" s="1435"/>
      <c r="Y236" s="1435"/>
      <c r="Z236" s="1435"/>
      <c r="AA236" s="1435"/>
      <c r="AB236" s="1435"/>
      <c r="AC236" s="1435"/>
      <c r="AD236" s="1435"/>
      <c r="AE236" s="1435"/>
      <c r="AM236" s="41"/>
      <c r="AN236" s="41"/>
      <c r="BB236" t="s">
        <v>637</v>
      </c>
      <c r="BG236" s="407">
        <f>IF(AND(AND($M$251="nonprofit",$M$259="nonprofit",$M$267="nonprofit")),1,0)</f>
        <v>0</v>
      </c>
    </row>
    <row r="237" spans="1:59" ht="12.95" customHeight="1">
      <c r="C237"/>
      <c r="D237" s="5" t="s">
        <v>430</v>
      </c>
      <c r="E237" s="5"/>
      <c r="M237" s="1142" t="s">
        <v>2344</v>
      </c>
      <c r="N237" s="1435"/>
      <c r="O237" s="1435"/>
      <c r="P237" s="1435"/>
      <c r="Q237" s="1435"/>
      <c r="R237" s="1435"/>
      <c r="S237" s="1435"/>
      <c r="T237" s="1435"/>
      <c r="V237" s="42" t="s">
        <v>373</v>
      </c>
      <c r="W237" s="1500" t="s">
        <v>2345</v>
      </c>
      <c r="X237" s="1086"/>
      <c r="Y237" s="5" t="s">
        <v>433</v>
      </c>
      <c r="AC237" s="1435">
        <v>95521</v>
      </c>
      <c r="AD237" s="1435"/>
      <c r="AE237" s="1435"/>
      <c r="AN237" s="41"/>
      <c r="BB237" t="s">
        <v>637</v>
      </c>
      <c r="BG237" s="407">
        <f>IF(AND(AND($M$251="nonprofit",$M$259="nonprofit",$M$267="(select one)")),1,0)</f>
        <v>0</v>
      </c>
    </row>
    <row r="238" spans="1:59" ht="12.95" customHeight="1">
      <c r="C238"/>
      <c r="D238" s="5" t="s">
        <v>374</v>
      </c>
      <c r="E238" s="5"/>
      <c r="F238" s="5"/>
      <c r="G238" s="5"/>
      <c r="H238" s="5"/>
      <c r="I238" s="5"/>
      <c r="J238" s="5"/>
      <c r="K238" s="28"/>
      <c r="M238" s="1142" t="s">
        <v>2346</v>
      </c>
      <c r="N238" s="1435"/>
      <c r="O238" s="1435"/>
      <c r="P238" s="1435"/>
      <c r="Q238" s="1435"/>
      <c r="R238" s="1435"/>
      <c r="S238" s="1435"/>
      <c r="T238" s="1435"/>
      <c r="U238" s="1435"/>
      <c r="V238" s="1435"/>
      <c r="W238" s="1435"/>
      <c r="X238" s="1435"/>
      <c r="Y238" s="1435"/>
      <c r="Z238" s="1435"/>
      <c r="AA238" s="1435"/>
      <c r="AB238" s="1435"/>
      <c r="AC238" s="1435"/>
      <c r="AD238" s="1435"/>
      <c r="AE238" s="1435"/>
      <c r="AI238" s="5"/>
      <c r="AJ238" s="5"/>
      <c r="AK238" s="5"/>
      <c r="AL238" s="5"/>
      <c r="AN238" s="41"/>
      <c r="BB238" t="s">
        <v>637</v>
      </c>
      <c r="BG238" s="407">
        <f>IF(AND(AND($M$251="nonprofit",$M$259="(select one)",$M$267="(select one)")),1,0)</f>
        <v>0</v>
      </c>
    </row>
    <row r="239" spans="1:59" ht="12.95" customHeight="1">
      <c r="C239"/>
      <c r="D239" s="5" t="s">
        <v>375</v>
      </c>
      <c r="E239" s="5"/>
      <c r="F239" s="5"/>
      <c r="M239" s="1284">
        <v>7078229000</v>
      </c>
      <c r="N239" s="1284"/>
      <c r="O239" s="1284"/>
      <c r="P239" s="1284"/>
      <c r="Q239" s="1284"/>
      <c r="R239" s="1284"/>
      <c r="S239" s="5" t="s">
        <v>818</v>
      </c>
      <c r="T239" s="5"/>
      <c r="U239" s="1086"/>
      <c r="V239" s="1086"/>
      <c r="W239" s="1086"/>
      <c r="X239" s="5" t="s">
        <v>376</v>
      </c>
      <c r="Z239" s="1284"/>
      <c r="AA239" s="1284"/>
      <c r="AB239" s="1284"/>
      <c r="AC239" s="1284"/>
      <c r="AD239" s="1284"/>
      <c r="AE239" s="1284"/>
      <c r="AM239" s="41"/>
      <c r="AN239" s="41"/>
      <c r="BB239" t="s">
        <v>1009</v>
      </c>
      <c r="BG239" s="407">
        <f>IF(AND(AND($M$251="for profit",$M$259="for profit",$M$267="for profit")),3,0)</f>
        <v>0</v>
      </c>
    </row>
    <row r="240" spans="1:59" ht="12.95" customHeight="1">
      <c r="C240"/>
      <c r="D240" s="5" t="s">
        <v>377</v>
      </c>
      <c r="E240" s="5"/>
      <c r="F240" s="5"/>
      <c r="M240" s="1498" t="s">
        <v>2347</v>
      </c>
      <c r="N240" s="1498"/>
      <c r="O240" s="1498"/>
      <c r="P240" s="1498"/>
      <c r="Q240" s="1498"/>
      <c r="R240" s="1498"/>
      <c r="S240" s="1498"/>
      <c r="T240" s="1498"/>
      <c r="U240" s="1498"/>
      <c r="V240" s="1498"/>
      <c r="W240" s="1498"/>
      <c r="X240" s="1498"/>
      <c r="Y240" s="1498"/>
      <c r="Z240" s="1498"/>
      <c r="AA240" s="1498"/>
      <c r="AB240" s="1498"/>
      <c r="AC240" s="1498"/>
      <c r="AD240" s="1498"/>
      <c r="AE240" s="1498"/>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85" t="s">
        <v>628</v>
      </c>
      <c r="N241" s="1085"/>
      <c r="O241" s="1085"/>
      <c r="P241" s="1085"/>
      <c r="Q241" s="1085"/>
      <c r="R241" s="1085"/>
      <c r="S241" s="1085"/>
      <c r="T241" s="1085"/>
      <c r="U241" s="5" t="s">
        <v>1144</v>
      </c>
      <c r="AA241" s="1431"/>
      <c r="AB241" s="1431"/>
      <c r="AC241" s="1431"/>
      <c r="AD241" s="1431"/>
      <c r="AE241" s="1431"/>
      <c r="AF241" s="1431"/>
      <c r="AG241" s="1431"/>
      <c r="AH241" s="1431"/>
      <c r="AI241" s="1431"/>
      <c r="AJ241" s="1431"/>
      <c r="AK241" s="1431"/>
      <c r="AL241" s="41"/>
      <c r="AM241" s="5"/>
      <c r="AN241" s="41"/>
      <c r="AO241" s="41"/>
      <c r="BB241" t="s">
        <v>1009</v>
      </c>
      <c r="BG241" s="408">
        <f>IF(AND(AND($M$251="for profit",$M$259="(select one)",$M$267="(select one)")),3,0)</f>
        <v>0</v>
      </c>
    </row>
    <row r="242" spans="1:67" ht="12.95" customHeight="1">
      <c r="C242"/>
      <c r="D242" t="s">
        <v>631</v>
      </c>
      <c r="M242" s="1142"/>
      <c r="N242" s="1087"/>
      <c r="O242" s="1087"/>
      <c r="P242" s="1087"/>
      <c r="Q242" s="1087"/>
      <c r="R242" s="1087"/>
      <c r="S242" s="1087"/>
      <c r="T242" s="1087"/>
      <c r="U242" s="1087"/>
      <c r="V242" s="1087"/>
      <c r="W242" s="1087"/>
      <c r="X242" s="1087"/>
      <c r="Y242" s="1087"/>
      <c r="Z242" s="1087"/>
      <c r="AA242" s="1087"/>
      <c r="AB242" s="1087"/>
      <c r="AC242" s="1087"/>
      <c r="AD242" s="1087"/>
      <c r="AE242" s="1087"/>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441" t="s">
        <v>2348</v>
      </c>
      <c r="N245" s="1441"/>
      <c r="O245" s="1441"/>
      <c r="P245" s="1441"/>
      <c r="Q245" s="1441"/>
      <c r="R245" s="1441"/>
      <c r="S245" s="1441"/>
      <c r="T245" s="1441"/>
      <c r="U245" s="1441"/>
      <c r="V245" s="1441"/>
      <c r="W245" s="1441"/>
      <c r="X245" s="1441"/>
      <c r="Y245" s="1441"/>
      <c r="Z245" s="1441"/>
      <c r="AA245" s="1441"/>
      <c r="AB245" s="1441"/>
      <c r="AC245" s="1441"/>
      <c r="AD245" s="1441"/>
      <c r="AE245" s="1441"/>
      <c r="AF245" s="1499" t="s">
        <v>2351</v>
      </c>
      <c r="AG245" s="1499"/>
      <c r="AH245" s="1499"/>
      <c r="AI245" s="1499"/>
      <c r="AJ245" s="1499"/>
      <c r="AK245" s="1499"/>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435" t="s">
        <v>2343</v>
      </c>
      <c r="N246" s="1435"/>
      <c r="O246" s="1435"/>
      <c r="P246" s="1435"/>
      <c r="Q246" s="1435"/>
      <c r="R246" s="1435"/>
      <c r="S246" s="1435"/>
      <c r="T246" s="1435"/>
      <c r="U246" s="1435"/>
      <c r="V246" s="1435"/>
      <c r="W246" s="1435"/>
      <c r="X246" s="1435"/>
      <c r="Y246" s="1435"/>
      <c r="Z246" s="1435"/>
      <c r="AA246" s="1435"/>
      <c r="AB246" s="1435"/>
      <c r="AC246" s="1435"/>
      <c r="AD246" s="1435"/>
      <c r="AE246" s="1435"/>
      <c r="AL246" s="5"/>
      <c r="AN246" s="41"/>
      <c r="BB246" s="5" t="s">
        <v>454</v>
      </c>
      <c r="BH246">
        <v>3</v>
      </c>
      <c r="BI246" t="s">
        <v>636</v>
      </c>
    </row>
    <row r="247" spans="1:67" ht="12.95" customHeight="1">
      <c r="A247" s="28"/>
      <c r="B247" s="5"/>
      <c r="C247" s="5"/>
      <c r="D247" s="5" t="s">
        <v>430</v>
      </c>
      <c r="E247" s="5"/>
      <c r="M247" s="1142" t="s">
        <v>2344</v>
      </c>
      <c r="N247" s="1435"/>
      <c r="O247" s="1435"/>
      <c r="P247" s="1435"/>
      <c r="Q247" s="1435"/>
      <c r="R247" s="1435"/>
      <c r="S247" s="1435"/>
      <c r="T247" s="1435"/>
      <c r="V247" s="42" t="s">
        <v>373</v>
      </c>
      <c r="W247" s="1500" t="s">
        <v>2345</v>
      </c>
      <c r="X247" s="1086"/>
      <c r="Y247" s="5" t="s">
        <v>433</v>
      </c>
      <c r="AC247" s="1435">
        <v>95521</v>
      </c>
      <c r="AD247" s="1435"/>
      <c r="AE247" s="1435"/>
      <c r="AN247" s="41"/>
    </row>
    <row r="248" spans="1:67" ht="12.95" customHeight="1">
      <c r="A248" s="28"/>
      <c r="B248" s="5"/>
      <c r="C248" s="5"/>
      <c r="D248" s="5" t="s">
        <v>374</v>
      </c>
      <c r="E248" s="5"/>
      <c r="F248" s="5"/>
      <c r="G248" s="5"/>
      <c r="H248" s="5"/>
      <c r="I248" s="5"/>
      <c r="J248" s="5"/>
      <c r="K248" s="5"/>
      <c r="L248" s="28"/>
      <c r="M248" s="1142" t="s">
        <v>2349</v>
      </c>
      <c r="N248" s="1435"/>
      <c r="O248" s="1435"/>
      <c r="P248" s="1435"/>
      <c r="Q248" s="1435"/>
      <c r="R248" s="1435"/>
      <c r="S248" s="1435"/>
      <c r="T248" s="1435"/>
      <c r="U248" s="1435"/>
      <c r="V248" s="1435"/>
      <c r="W248" s="1435"/>
      <c r="X248" s="1435"/>
      <c r="Y248" s="1435"/>
      <c r="Z248" s="1435"/>
      <c r="AA248" s="1435"/>
      <c r="AB248" s="1435"/>
      <c r="AC248" s="1435"/>
      <c r="AD248" s="1435"/>
      <c r="AE248" s="1435"/>
      <c r="AJ248" s="5"/>
      <c r="AK248" s="5"/>
      <c r="AL248" s="5"/>
      <c r="AN248" s="41"/>
    </row>
    <row r="249" spans="1:67" ht="12.95" customHeight="1">
      <c r="A249" s="28"/>
      <c r="B249" s="5"/>
      <c r="C249" s="5"/>
      <c r="D249" s="5" t="s">
        <v>375</v>
      </c>
      <c r="E249" s="5"/>
      <c r="F249" s="5"/>
      <c r="M249" s="1284">
        <v>7078229000</v>
      </c>
      <c r="N249" s="1284"/>
      <c r="O249" s="1284"/>
      <c r="P249" s="1284"/>
      <c r="Q249" s="1284"/>
      <c r="R249" s="1284"/>
      <c r="S249" s="5" t="s">
        <v>818</v>
      </c>
      <c r="T249" s="5"/>
      <c r="U249" s="1086"/>
      <c r="V249" s="1086"/>
      <c r="W249" s="1086"/>
      <c r="X249" s="5" t="s">
        <v>376</v>
      </c>
      <c r="Z249" s="1284"/>
      <c r="AA249" s="1284"/>
      <c r="AB249" s="1284"/>
      <c r="AC249" s="1284"/>
      <c r="AD249" s="1284"/>
      <c r="AE249" s="1284"/>
      <c r="AM249" s="5"/>
      <c r="AN249" s="41"/>
    </row>
    <row r="250" spans="1:67" ht="12.95" customHeight="1">
      <c r="A250" s="28"/>
      <c r="B250" s="5"/>
      <c r="C250" s="5"/>
      <c r="D250" s="5" t="s">
        <v>377</v>
      </c>
      <c r="E250" s="5"/>
      <c r="F250" s="5"/>
      <c r="M250" s="1498" t="s">
        <v>2350</v>
      </c>
      <c r="N250" s="1498"/>
      <c r="O250" s="1498"/>
      <c r="P250" s="1498"/>
      <c r="Q250" s="1498"/>
      <c r="R250" s="1498"/>
      <c r="S250" s="1498"/>
      <c r="T250" s="1498"/>
      <c r="U250" s="1498"/>
      <c r="V250" s="1498"/>
      <c r="W250" s="1498"/>
      <c r="X250" s="1498"/>
      <c r="Y250" s="1498"/>
      <c r="Z250" s="1498"/>
      <c r="AA250" s="1498"/>
      <c r="AB250" s="1498"/>
      <c r="AC250" s="1498"/>
      <c r="AD250" s="1498"/>
      <c r="AE250" s="1498"/>
      <c r="AG250" s="5"/>
      <c r="AH250" s="5"/>
      <c r="AI250" s="5"/>
      <c r="AJ250" s="5"/>
      <c r="AK250" s="5"/>
      <c r="AL250" s="5"/>
    </row>
    <row r="251" spans="1:67" ht="12.95" customHeight="1">
      <c r="A251" s="18"/>
      <c r="B251" s="5"/>
      <c r="C251" s="62"/>
      <c r="D251" s="5" t="s">
        <v>635</v>
      </c>
      <c r="E251" s="5"/>
      <c r="F251" s="5"/>
      <c r="G251" s="5"/>
      <c r="H251" s="5"/>
      <c r="I251" s="5"/>
      <c r="J251" s="5"/>
      <c r="K251" s="5"/>
      <c r="L251" s="5"/>
      <c r="M251" s="1085" t="s">
        <v>636</v>
      </c>
      <c r="N251" s="1085"/>
      <c r="O251" s="1085"/>
      <c r="P251" s="1085"/>
      <c r="Q251" s="1085"/>
      <c r="R251" s="1085"/>
      <c r="S251" s="1085"/>
      <c r="T251" s="1085"/>
      <c r="U251" s="5" t="s">
        <v>1144</v>
      </c>
      <c r="AA251" s="1431"/>
      <c r="AB251" s="1431"/>
      <c r="AC251" s="1431"/>
      <c r="AD251" s="1431"/>
      <c r="AE251" s="1431"/>
      <c r="AF251" s="1431"/>
      <c r="AG251" s="1431"/>
      <c r="AH251" s="1431"/>
      <c r="AI251" s="1431"/>
      <c r="AJ251" s="1431"/>
      <c r="AK251" s="143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441" t="s">
        <v>2352</v>
      </c>
      <c r="N253" s="1441"/>
      <c r="O253" s="1441"/>
      <c r="P253" s="1441"/>
      <c r="Q253" s="1441"/>
      <c r="R253" s="1441"/>
      <c r="S253" s="1441"/>
      <c r="T253" s="1441"/>
      <c r="U253" s="1441"/>
      <c r="V253" s="1441"/>
      <c r="W253" s="1441"/>
      <c r="X253" s="1441"/>
      <c r="Y253" s="1441"/>
      <c r="Z253" s="1441"/>
      <c r="AA253" s="1441"/>
      <c r="AB253" s="1441"/>
      <c r="AC253" s="1441"/>
      <c r="AD253" s="1441"/>
      <c r="AE253" s="1441"/>
      <c r="AF253" s="1499" t="s">
        <v>2354</v>
      </c>
      <c r="AG253" s="1499"/>
      <c r="AH253" s="1499"/>
      <c r="AI253" s="1499"/>
      <c r="AJ253" s="1499"/>
      <c r="AK253" s="1499"/>
      <c r="AM253" s="5"/>
    </row>
    <row r="254" spans="1:67" ht="12.95" customHeight="1">
      <c r="A254" s="28"/>
      <c r="B254" s="5"/>
      <c r="C254" s="5"/>
      <c r="D254" s="5" t="s">
        <v>372</v>
      </c>
      <c r="E254" s="5"/>
      <c r="F254" s="5"/>
      <c r="G254" s="5"/>
      <c r="H254" s="5"/>
      <c r="I254" s="5"/>
      <c r="J254" s="5"/>
      <c r="K254" s="5"/>
      <c r="L254" s="5"/>
      <c r="M254" s="1435" t="s">
        <v>2353</v>
      </c>
      <c r="N254" s="1435"/>
      <c r="O254" s="1435"/>
      <c r="P254" s="1435"/>
      <c r="Q254" s="1435"/>
      <c r="R254" s="1435"/>
      <c r="S254" s="1435"/>
      <c r="T254" s="1435"/>
      <c r="U254" s="1435"/>
      <c r="V254" s="1435"/>
      <c r="W254" s="1435"/>
      <c r="X254" s="1435"/>
      <c r="Y254" s="1435"/>
      <c r="Z254" s="1435"/>
      <c r="AA254" s="1435"/>
      <c r="AB254" s="1435"/>
      <c r="AC254" s="1435"/>
      <c r="AD254" s="1435"/>
      <c r="AE254" s="1435"/>
      <c r="AL254" s="5"/>
    </row>
    <row r="255" spans="1:67" ht="12.95" customHeight="1">
      <c r="A255" s="28"/>
      <c r="B255" s="5"/>
      <c r="C255" s="5"/>
      <c r="D255" s="5" t="s">
        <v>430</v>
      </c>
      <c r="E255" s="5"/>
      <c r="M255" s="1142" t="s">
        <v>2355</v>
      </c>
      <c r="N255" s="1435"/>
      <c r="O255" s="1435"/>
      <c r="P255" s="1435"/>
      <c r="Q255" s="1435"/>
      <c r="R255" s="1435"/>
      <c r="S255" s="1435"/>
      <c r="T255" s="1435"/>
      <c r="V255" s="42" t="s">
        <v>373</v>
      </c>
      <c r="W255" s="1500" t="s">
        <v>2345</v>
      </c>
      <c r="X255" s="1086"/>
      <c r="Y255" s="5" t="s">
        <v>433</v>
      </c>
      <c r="AC255" s="1435">
        <v>96001</v>
      </c>
      <c r="AD255" s="1435"/>
      <c r="AE255" s="1435"/>
    </row>
    <row r="256" spans="1:67" ht="12.95" customHeight="1">
      <c r="A256" s="28"/>
      <c r="B256" s="5"/>
      <c r="C256" s="5"/>
      <c r="D256" s="5" t="s">
        <v>374</v>
      </c>
      <c r="E256" s="5"/>
      <c r="F256" s="5"/>
      <c r="G256" s="5"/>
      <c r="H256" s="5"/>
      <c r="I256" s="5"/>
      <c r="J256" s="5"/>
      <c r="K256" s="5"/>
      <c r="L256" s="28"/>
      <c r="M256" s="1142" t="s">
        <v>2356</v>
      </c>
      <c r="N256" s="1435"/>
      <c r="O256" s="1435"/>
      <c r="P256" s="1435"/>
      <c r="Q256" s="1435"/>
      <c r="R256" s="1435"/>
      <c r="S256" s="1435"/>
      <c r="T256" s="1435"/>
      <c r="U256" s="1435"/>
      <c r="V256" s="1435"/>
      <c r="W256" s="1435"/>
      <c r="X256" s="1435"/>
      <c r="Y256" s="1435"/>
      <c r="Z256" s="1435"/>
      <c r="AA256" s="1435"/>
      <c r="AB256" s="1435"/>
      <c r="AC256" s="1435"/>
      <c r="AD256" s="1435"/>
      <c r="AE256" s="1435"/>
      <c r="AJ256" s="5"/>
      <c r="AK256" s="5"/>
      <c r="AL256" s="5"/>
    </row>
    <row r="257" spans="1:53" ht="12.95" customHeight="1">
      <c r="A257" s="28"/>
      <c r="B257" s="5"/>
      <c r="C257" s="5"/>
      <c r="D257" s="5" t="s">
        <v>375</v>
      </c>
      <c r="E257" s="5"/>
      <c r="F257" s="5"/>
      <c r="M257" s="1284">
        <v>5302416960</v>
      </c>
      <c r="N257" s="1284"/>
      <c r="O257" s="1284"/>
      <c r="P257" s="1284"/>
      <c r="Q257" s="1284"/>
      <c r="R257" s="1284"/>
      <c r="S257" s="5" t="s">
        <v>818</v>
      </c>
      <c r="T257" s="5"/>
      <c r="U257" s="1086"/>
      <c r="V257" s="1086"/>
      <c r="W257" s="1086"/>
      <c r="X257" s="5" t="s">
        <v>376</v>
      </c>
      <c r="Z257" s="1284"/>
      <c r="AA257" s="1284"/>
      <c r="AB257" s="1284"/>
      <c r="AC257" s="1284"/>
      <c r="AD257" s="1284"/>
      <c r="AE257" s="1284"/>
      <c r="BA257" s="43"/>
    </row>
    <row r="258" spans="1:53" ht="12.95" customHeight="1">
      <c r="A258" s="28"/>
      <c r="B258" s="5"/>
      <c r="C258" s="5"/>
      <c r="D258" s="5" t="s">
        <v>377</v>
      </c>
      <c r="E258" s="5"/>
      <c r="F258" s="5"/>
      <c r="M258" s="1498" t="s">
        <v>2357</v>
      </c>
      <c r="N258" s="1498"/>
      <c r="O258" s="1498"/>
      <c r="P258" s="1498"/>
      <c r="Q258" s="1498"/>
      <c r="R258" s="1498"/>
      <c r="S258" s="1498"/>
      <c r="T258" s="1498"/>
      <c r="U258" s="1498"/>
      <c r="V258" s="1498"/>
      <c r="W258" s="1498"/>
      <c r="X258" s="1498"/>
      <c r="Y258" s="1498"/>
      <c r="Z258" s="1498"/>
      <c r="AA258" s="1498"/>
      <c r="AB258" s="1498"/>
      <c r="AC258" s="1498"/>
      <c r="AD258" s="1498"/>
      <c r="AE258" s="1498"/>
      <c r="AG258" s="5"/>
      <c r="AH258" s="5"/>
      <c r="AI258" s="5"/>
      <c r="AJ258" s="5"/>
      <c r="AK258" s="5"/>
      <c r="AL258" s="5"/>
    </row>
    <row r="259" spans="1:53" ht="12.95" customHeight="1">
      <c r="A259" s="18"/>
      <c r="B259" s="5"/>
      <c r="C259" s="62"/>
      <c r="D259" s="5" t="s">
        <v>635</v>
      </c>
      <c r="E259" s="5"/>
      <c r="F259" s="5"/>
      <c r="G259" s="5"/>
      <c r="H259" s="5"/>
      <c r="I259" s="5"/>
      <c r="J259" s="5"/>
      <c r="K259" s="5"/>
      <c r="L259" s="5"/>
      <c r="M259" s="1085" t="s">
        <v>634</v>
      </c>
      <c r="N259" s="1085"/>
      <c r="O259" s="1085"/>
      <c r="P259" s="1085"/>
      <c r="Q259" s="1085"/>
      <c r="R259" s="1085"/>
      <c r="S259" s="1085"/>
      <c r="T259" s="1085"/>
      <c r="U259" s="5" t="s">
        <v>1144</v>
      </c>
      <c r="AA259" s="1431"/>
      <c r="AB259" s="1431"/>
      <c r="AC259" s="1431"/>
      <c r="AD259" s="1431"/>
      <c r="AE259" s="1431"/>
      <c r="AF259" s="1431"/>
      <c r="AG259" s="1431"/>
      <c r="AH259" s="1431"/>
      <c r="AI259" s="1431"/>
      <c r="AJ259" s="1431"/>
      <c r="AK259" s="143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1874</v>
      </c>
      <c r="D261" s="5" t="s">
        <v>632</v>
      </c>
      <c r="E261" s="5"/>
      <c r="F261" s="5"/>
      <c r="G261" s="5"/>
      <c r="H261" s="5"/>
      <c r="I261" s="5"/>
      <c r="J261" s="5"/>
      <c r="K261" s="5"/>
      <c r="L261" s="5"/>
      <c r="M261" s="1499" t="s">
        <v>2358</v>
      </c>
      <c r="N261" s="1499"/>
      <c r="O261" s="1499"/>
      <c r="P261" s="1499"/>
      <c r="Q261" s="1499"/>
      <c r="R261" s="1499"/>
      <c r="S261" s="1499"/>
      <c r="T261" s="1499"/>
      <c r="U261" s="1499"/>
      <c r="V261" s="1499"/>
      <c r="W261" s="1499"/>
      <c r="X261" s="1499"/>
      <c r="Y261" s="1499"/>
      <c r="Z261" s="1499"/>
      <c r="AA261" s="1499"/>
      <c r="AB261" s="1499"/>
      <c r="AC261" s="1499"/>
      <c r="AD261" s="1499"/>
      <c r="AE261" s="1499"/>
      <c r="AF261" s="1499" t="s">
        <v>79</v>
      </c>
      <c r="AG261" s="1499"/>
      <c r="AH261" s="1499"/>
      <c r="AI261" s="1499"/>
      <c r="AJ261" s="1499"/>
      <c r="AK261" s="1499"/>
      <c r="AL261" s="41"/>
    </row>
    <row r="262" spans="1:53" ht="12.95" customHeight="1">
      <c r="A262" s="18"/>
      <c r="B262" s="5"/>
      <c r="C262" s="5"/>
      <c r="D262" s="5" t="s">
        <v>372</v>
      </c>
      <c r="E262" s="5"/>
      <c r="F262" s="5"/>
      <c r="G262" s="5"/>
      <c r="H262" s="5"/>
      <c r="I262" s="5"/>
      <c r="J262" s="5"/>
      <c r="K262" s="5"/>
      <c r="L262" s="5"/>
      <c r="M262" s="1435" t="s">
        <v>2343</v>
      </c>
      <c r="N262" s="1435"/>
      <c r="O262" s="1435"/>
      <c r="P262" s="1435"/>
      <c r="Q262" s="1435"/>
      <c r="R262" s="1435"/>
      <c r="S262" s="1435"/>
      <c r="T262" s="1435"/>
      <c r="U262" s="1435"/>
      <c r="V262" s="1435"/>
      <c r="W262" s="1435"/>
      <c r="X262" s="1435"/>
      <c r="Y262" s="1435"/>
      <c r="Z262" s="1435"/>
      <c r="AA262" s="1435"/>
      <c r="AB262" s="1435"/>
      <c r="AC262" s="1435"/>
      <c r="AD262" s="1435"/>
      <c r="AE262" s="1435"/>
      <c r="AL262" s="41"/>
      <c r="BA262" s="43"/>
    </row>
    <row r="263" spans="1:53" ht="12.95" customHeight="1">
      <c r="A263" s="18"/>
      <c r="B263" s="5"/>
      <c r="C263" s="5"/>
      <c r="D263" s="5" t="s">
        <v>430</v>
      </c>
      <c r="E263" s="5"/>
      <c r="M263" s="1435" t="s">
        <v>2359</v>
      </c>
      <c r="N263" s="1435"/>
      <c r="O263" s="1435"/>
      <c r="P263" s="1435"/>
      <c r="Q263" s="1435"/>
      <c r="R263" s="1435"/>
      <c r="S263" s="1435"/>
      <c r="T263" s="1435"/>
      <c r="V263" s="42" t="s">
        <v>373</v>
      </c>
      <c r="W263" s="1500" t="s">
        <v>2345</v>
      </c>
      <c r="X263" s="1086"/>
      <c r="Y263" s="5" t="s">
        <v>433</v>
      </c>
      <c r="AC263" s="1435">
        <v>95521</v>
      </c>
      <c r="AD263" s="1435"/>
      <c r="AE263" s="1435"/>
      <c r="AL263" s="41"/>
      <c r="BA263" s="43"/>
    </row>
    <row r="264" spans="1:53" ht="12.95" customHeight="1">
      <c r="A264" s="18"/>
      <c r="B264" s="5"/>
      <c r="C264" s="5"/>
      <c r="D264" s="5" t="s">
        <v>374</v>
      </c>
      <c r="E264" s="5"/>
      <c r="F264" s="5"/>
      <c r="G264" s="5"/>
      <c r="H264" s="5"/>
      <c r="I264" s="5"/>
      <c r="J264" s="5"/>
      <c r="K264" s="5"/>
      <c r="L264" s="28"/>
      <c r="M264" s="1142" t="s">
        <v>2349</v>
      </c>
      <c r="N264" s="1435"/>
      <c r="O264" s="1435"/>
      <c r="P264" s="1435"/>
      <c r="Q264" s="1435"/>
      <c r="R264" s="1435"/>
      <c r="S264" s="1435"/>
      <c r="T264" s="1435"/>
      <c r="U264" s="1435"/>
      <c r="V264" s="1435"/>
      <c r="W264" s="1435"/>
      <c r="X264" s="1435"/>
      <c r="Y264" s="1435"/>
      <c r="Z264" s="1435"/>
      <c r="AA264" s="1435"/>
      <c r="AB264" s="1435"/>
      <c r="AC264" s="1435"/>
      <c r="AD264" s="1435"/>
      <c r="AE264" s="1435"/>
      <c r="AJ264" s="5"/>
      <c r="AK264" s="5"/>
      <c r="AL264" s="41"/>
      <c r="BA264" s="43"/>
    </row>
    <row r="265" spans="1:53" ht="12.95" customHeight="1">
      <c r="A265" s="18"/>
      <c r="B265" s="5"/>
      <c r="C265" s="5"/>
      <c r="D265" s="5" t="s">
        <v>375</v>
      </c>
      <c r="E265" s="5"/>
      <c r="F265" s="5"/>
      <c r="M265" s="1284">
        <v>7078229000</v>
      </c>
      <c r="N265" s="1284"/>
      <c r="O265" s="1284"/>
      <c r="P265" s="1284"/>
      <c r="Q265" s="1284"/>
      <c r="R265" s="1284"/>
      <c r="S265" s="5" t="s">
        <v>818</v>
      </c>
      <c r="T265" s="5"/>
      <c r="U265" s="1086"/>
      <c r="V265" s="1086"/>
      <c r="W265" s="1086"/>
      <c r="X265" s="5" t="s">
        <v>376</v>
      </c>
      <c r="Z265" s="1284"/>
      <c r="AA265" s="1284"/>
      <c r="AB265" s="1284"/>
      <c r="AC265" s="1284"/>
      <c r="AD265" s="1284"/>
      <c r="AE265" s="1284"/>
      <c r="AL265" s="41"/>
      <c r="BA265" s="43"/>
    </row>
    <row r="266" spans="1:53" ht="12.95" customHeight="1">
      <c r="A266" s="18"/>
      <c r="B266" s="5"/>
      <c r="C266" s="5"/>
      <c r="D266" s="5" t="s">
        <v>377</v>
      </c>
      <c r="E266" s="5"/>
      <c r="F266" s="5"/>
      <c r="M266" s="1498" t="s">
        <v>2360</v>
      </c>
      <c r="N266" s="1498"/>
      <c r="O266" s="1498"/>
      <c r="P266" s="1498"/>
      <c r="Q266" s="1498"/>
      <c r="R266" s="1498"/>
      <c r="S266" s="1498"/>
      <c r="T266" s="1498"/>
      <c r="U266" s="1498"/>
      <c r="V266" s="1498"/>
      <c r="W266" s="1498"/>
      <c r="X266" s="1498"/>
      <c r="Y266" s="1498"/>
      <c r="Z266" s="1498"/>
      <c r="AA266" s="1498"/>
      <c r="AB266" s="1498"/>
      <c r="AC266" s="1498"/>
      <c r="AD266" s="1498"/>
      <c r="AE266" s="1498"/>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85" t="s">
        <v>636</v>
      </c>
      <c r="N267" s="1085"/>
      <c r="O267" s="1085"/>
      <c r="P267" s="1085"/>
      <c r="Q267" s="1085"/>
      <c r="R267" s="1085"/>
      <c r="S267" s="1085"/>
      <c r="T267" s="1085"/>
      <c r="U267" s="5" t="s">
        <v>1144</v>
      </c>
      <c r="AA267" s="1431"/>
      <c r="AB267" s="1431"/>
      <c r="AC267" s="1431"/>
      <c r="AD267" s="1431"/>
      <c r="AE267" s="1431"/>
      <c r="AF267" s="1431"/>
      <c r="AG267" s="1431"/>
      <c r="AH267" s="1431"/>
      <c r="AI267" s="1431"/>
      <c r="AJ267" s="1431"/>
      <c r="AK267" s="143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98" t="str">
        <f>BO245</f>
        <v>Joint Venture</v>
      </c>
      <c r="U269" s="1598"/>
      <c r="V269" s="1598"/>
      <c r="W269" s="1598"/>
      <c r="X269" s="1598"/>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435" t="s">
        <v>892</v>
      </c>
      <c r="E272" s="1435"/>
      <c r="F272" s="1435"/>
      <c r="G272" s="1435"/>
      <c r="H272" s="1435"/>
      <c r="J272" t="s">
        <v>891</v>
      </c>
      <c r="X272" s="1501"/>
      <c r="Y272" s="1501"/>
      <c r="Z272" s="1501"/>
      <c r="AA272" s="1501"/>
      <c r="AB272" s="1501"/>
      <c r="AC272" s="1501"/>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99" t="s">
        <v>2358</v>
      </c>
      <c r="M276" s="1499"/>
      <c r="N276" s="1499"/>
      <c r="O276" s="1499"/>
      <c r="P276" s="1499"/>
      <c r="Q276" s="1499"/>
      <c r="R276" s="1499"/>
      <c r="S276" s="1499"/>
      <c r="T276" s="1499"/>
      <c r="U276" s="1499"/>
      <c r="V276" s="1499"/>
      <c r="W276" s="1499"/>
      <c r="X276" s="1499"/>
      <c r="Y276" s="1499"/>
      <c r="Z276" s="1499"/>
      <c r="AA276" s="1499"/>
      <c r="AB276" s="1499"/>
      <c r="AC276" s="1499"/>
      <c r="AD276" s="1499"/>
      <c r="AE276" s="1499"/>
      <c r="AF276" s="1499"/>
      <c r="AG276" s="1499"/>
      <c r="AH276" s="1499"/>
      <c r="AI276" s="1499"/>
      <c r="AJ276" s="1499"/>
      <c r="AK276" s="41"/>
      <c r="AL276" s="41"/>
      <c r="BA276" s="43"/>
    </row>
    <row r="277" spans="1:53" ht="12.95" customHeight="1">
      <c r="C277"/>
      <c r="D277" s="5" t="s">
        <v>372</v>
      </c>
      <c r="E277" s="5"/>
      <c r="F277" s="5"/>
      <c r="G277" s="5"/>
      <c r="H277" s="5"/>
      <c r="I277" s="5"/>
      <c r="J277" s="5"/>
      <c r="K277" s="5"/>
      <c r="L277" s="1435" t="s">
        <v>2343</v>
      </c>
      <c r="M277" s="1435"/>
      <c r="N277" s="1435"/>
      <c r="O277" s="1435"/>
      <c r="P277" s="1435"/>
      <c r="Q277" s="1435"/>
      <c r="R277" s="1435"/>
      <c r="S277" s="1435"/>
      <c r="T277" s="1435"/>
      <c r="U277" s="1435"/>
      <c r="V277" s="1435"/>
      <c r="W277" s="1435"/>
      <c r="X277" s="1435"/>
      <c r="Y277" s="1435"/>
      <c r="Z277" s="1435"/>
      <c r="AA277" s="1435"/>
      <c r="AB277" s="1435"/>
      <c r="AC277" s="1435"/>
      <c r="AD277" s="1435"/>
      <c r="AK277" s="41"/>
      <c r="AL277" s="41"/>
      <c r="BA277" s="43"/>
    </row>
    <row r="278" spans="1:53" ht="12.95" customHeight="1">
      <c r="C278"/>
      <c r="D278" s="5" t="s">
        <v>430</v>
      </c>
      <c r="E278" s="5"/>
      <c r="L278" s="1142" t="s">
        <v>2359</v>
      </c>
      <c r="M278" s="1435"/>
      <c r="N278" s="1435"/>
      <c r="O278" s="1435"/>
      <c r="P278" s="1435"/>
      <c r="Q278" s="1435"/>
      <c r="R278" s="1435"/>
      <c r="S278" s="1435"/>
      <c r="U278" s="42" t="s">
        <v>373</v>
      </c>
      <c r="V278" s="1500" t="s">
        <v>2345</v>
      </c>
      <c r="W278" s="1086"/>
      <c r="X278" s="5" t="s">
        <v>433</v>
      </c>
      <c r="AB278" s="1435">
        <v>95521</v>
      </c>
      <c r="AC278" s="1435"/>
      <c r="AD278" s="1435"/>
      <c r="AK278" s="41"/>
      <c r="AL278" s="41"/>
      <c r="BA278" s="43"/>
    </row>
    <row r="279" spans="1:53" ht="12.95" customHeight="1">
      <c r="C279"/>
      <c r="D279" s="5" t="s">
        <v>374</v>
      </c>
      <c r="E279" s="5"/>
      <c r="F279" s="5"/>
      <c r="G279" s="5"/>
      <c r="H279" s="5"/>
      <c r="I279" s="5"/>
      <c r="J279" s="5"/>
      <c r="K279" s="28"/>
      <c r="L279" s="1142" t="s">
        <v>2346</v>
      </c>
      <c r="M279" s="1435"/>
      <c r="N279" s="1435"/>
      <c r="O279" s="1435"/>
      <c r="P279" s="1435"/>
      <c r="Q279" s="1435"/>
      <c r="R279" s="1435"/>
      <c r="S279" s="1435"/>
      <c r="T279" s="1435"/>
      <c r="U279" s="1435"/>
      <c r="V279" s="1435"/>
      <c r="W279" s="1435"/>
      <c r="X279" s="1435"/>
      <c r="Y279" s="1435"/>
      <c r="Z279" s="1435"/>
      <c r="AA279" s="1435"/>
      <c r="AB279" s="1435"/>
      <c r="AC279" s="1435"/>
      <c r="AD279" s="1435"/>
      <c r="AI279" s="5"/>
      <c r="AJ279" s="5"/>
      <c r="AK279" s="41"/>
      <c r="AL279" s="41"/>
      <c r="BA279" s="43"/>
    </row>
    <row r="280" spans="1:53" ht="12.95" customHeight="1">
      <c r="C280"/>
      <c r="D280" s="5" t="s">
        <v>375</v>
      </c>
      <c r="E280" s="5"/>
      <c r="F280" s="5"/>
      <c r="L280" s="1284">
        <v>7078229000</v>
      </c>
      <c r="M280" s="1284"/>
      <c r="N280" s="1284"/>
      <c r="O280" s="1284"/>
      <c r="P280" s="1284"/>
      <c r="Q280" s="1284"/>
      <c r="R280" s="5" t="s">
        <v>818</v>
      </c>
      <c r="S280" s="5"/>
      <c r="T280" s="1086"/>
      <c r="U280" s="1086"/>
      <c r="V280" s="1086"/>
      <c r="W280" s="5" t="s">
        <v>376</v>
      </c>
      <c r="Y280" s="1284"/>
      <c r="Z280" s="1284"/>
      <c r="AA280" s="1284"/>
      <c r="AB280" s="1284"/>
      <c r="AC280" s="1284"/>
      <c r="AD280" s="1284"/>
      <c r="BA280" s="43"/>
    </row>
    <row r="281" spans="1:53" ht="12.95" customHeight="1">
      <c r="C281"/>
      <c r="D281" s="5" t="s">
        <v>377</v>
      </c>
      <c r="E281" s="5"/>
      <c r="F281" s="5"/>
      <c r="L281" s="1498" t="s">
        <v>2347</v>
      </c>
      <c r="M281" s="1498"/>
      <c r="N281" s="1498"/>
      <c r="O281" s="1498"/>
      <c r="P281" s="1498"/>
      <c r="Q281" s="1498"/>
      <c r="R281" s="1498"/>
      <c r="S281" s="1498"/>
      <c r="T281" s="1498"/>
      <c r="U281" s="1498"/>
      <c r="V281" s="1498"/>
      <c r="W281" s="1498"/>
      <c r="X281" s="1498"/>
      <c r="Y281" s="1498"/>
      <c r="Z281" s="1498"/>
      <c r="AA281" s="1498"/>
      <c r="AB281" s="1498"/>
      <c r="AC281" s="1498"/>
      <c r="AD281" s="1498"/>
      <c r="AF281" s="5"/>
      <c r="AG281" s="5"/>
      <c r="AH281" s="5"/>
      <c r="AI281" s="5"/>
      <c r="AJ281" s="5"/>
      <c r="BA281" s="43"/>
    </row>
    <row r="282" spans="1:53" ht="12.95" customHeight="1">
      <c r="C282"/>
      <c r="D282" s="41" t="s">
        <v>186</v>
      </c>
      <c r="E282" s="41"/>
      <c r="F282" s="41"/>
      <c r="G282" s="41"/>
      <c r="H282" s="41"/>
      <c r="I282" s="41"/>
      <c r="L282" s="1500" t="s">
        <v>2361</v>
      </c>
      <c r="M282" s="1500"/>
      <c r="N282" s="1500"/>
      <c r="O282" s="1500"/>
      <c r="P282" s="1500"/>
      <c r="Q282" s="1500"/>
      <c r="R282" s="1500"/>
      <c r="S282" s="1500"/>
      <c r="T282" s="1500"/>
      <c r="U282" s="1500"/>
      <c r="V282" s="1500"/>
      <c r="W282" s="1500"/>
      <c r="X282" s="1500"/>
      <c r="Y282" s="1500"/>
      <c r="Z282" s="1500"/>
      <c r="AA282" s="1500"/>
      <c r="AB282" s="1500"/>
      <c r="AC282" s="1500"/>
      <c r="AD282" s="1500"/>
      <c r="AK282" s="41"/>
      <c r="AL282" s="41"/>
      <c r="BA282" s="43"/>
    </row>
    <row r="283" spans="1:53" ht="12.95" customHeight="1">
      <c r="C283"/>
      <c r="L283" s="4" t="s">
        <v>187</v>
      </c>
      <c r="BA283" s="43"/>
    </row>
    <row r="284" spans="1:53" ht="12.95" customHeight="1">
      <c r="A284" s="1123" t="s">
        <v>496</v>
      </c>
      <c r="B284" s="1123"/>
      <c r="C284" s="1123"/>
      <c r="D284" s="1123"/>
      <c r="E284" s="1123"/>
      <c r="F284" s="1123"/>
      <c r="G284" s="1123"/>
      <c r="H284" s="1123"/>
      <c r="I284" s="1123"/>
      <c r="J284" s="1123"/>
      <c r="K284" s="1123"/>
      <c r="L284" s="1123"/>
      <c r="M284" s="1123"/>
      <c r="N284" s="1123"/>
      <c r="O284" s="1123"/>
      <c r="P284" s="1123"/>
      <c r="Q284" s="1123"/>
      <c r="R284" s="1123"/>
      <c r="S284" s="1123"/>
      <c r="T284" s="1123"/>
      <c r="U284" s="1123"/>
      <c r="V284" s="1123"/>
      <c r="W284" s="1123"/>
      <c r="X284" s="1123"/>
      <c r="Y284" s="1123"/>
      <c r="Z284" s="1123"/>
      <c r="AA284" s="1123"/>
      <c r="AB284" s="1123"/>
      <c r="AC284" s="1123"/>
      <c r="AD284" s="1123"/>
      <c r="AE284" s="1123"/>
      <c r="AF284" s="1123"/>
      <c r="AG284" s="1123"/>
      <c r="AH284" s="1123"/>
      <c r="AI284" s="1123"/>
      <c r="AJ284" s="1123"/>
      <c r="AK284" s="1123"/>
      <c r="AL284" s="1123"/>
      <c r="AM284" s="1123"/>
      <c r="AN284" s="1123"/>
      <c r="AO284" s="1123"/>
      <c r="AP284" s="1123"/>
      <c r="AQ284" s="1123"/>
      <c r="AR284" s="1123"/>
      <c r="AS284" s="1123"/>
      <c r="AT284" s="1123"/>
      <c r="BA284" s="43"/>
    </row>
    <row r="285" spans="1:53" ht="12.95" customHeight="1">
      <c r="A285" s="1123"/>
      <c r="B285" s="1123"/>
      <c r="C285" s="1123"/>
      <c r="D285" s="1123"/>
      <c r="E285" s="1123"/>
      <c r="F285" s="1123"/>
      <c r="G285" s="1123"/>
      <c r="H285" s="1123"/>
      <c r="I285" s="1123"/>
      <c r="J285" s="1123"/>
      <c r="K285" s="1123"/>
      <c r="L285" s="1123"/>
      <c r="M285" s="1123"/>
      <c r="N285" s="1123"/>
      <c r="O285" s="1123"/>
      <c r="P285" s="1123"/>
      <c r="Q285" s="1123"/>
      <c r="R285" s="1123"/>
      <c r="S285" s="1123"/>
      <c r="T285" s="1123"/>
      <c r="U285" s="1123"/>
      <c r="V285" s="1123"/>
      <c r="W285" s="1123"/>
      <c r="X285" s="1123"/>
      <c r="Y285" s="1123"/>
      <c r="Z285" s="1123"/>
      <c r="AA285" s="1123"/>
      <c r="AB285" s="1123"/>
      <c r="AC285" s="1123"/>
      <c r="AD285" s="1123"/>
      <c r="AE285" s="1123"/>
      <c r="AF285" s="1123"/>
      <c r="AG285" s="1123"/>
      <c r="AH285" s="1123"/>
      <c r="AI285" s="1123"/>
      <c r="AJ285" s="1123"/>
      <c r="AK285" s="1123"/>
      <c r="AL285" s="1123"/>
      <c r="AM285" s="1123"/>
      <c r="AN285" s="1123"/>
      <c r="AO285" s="1123"/>
      <c r="AP285" s="1123"/>
      <c r="AQ285" s="1123"/>
      <c r="AR285" s="1123"/>
      <c r="AS285" s="1123"/>
      <c r="AT285" s="112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87" t="s">
        <v>2358</v>
      </c>
      <c r="I289" s="1087"/>
      <c r="J289" s="1087"/>
      <c r="K289" s="1087"/>
      <c r="L289" s="1087"/>
      <c r="M289" s="1087"/>
      <c r="N289" s="1087"/>
      <c r="O289" s="1087"/>
      <c r="P289" s="1087"/>
      <c r="Q289" s="1087"/>
      <c r="R289" s="1087"/>
      <c r="T289" s="41" t="s">
        <v>745</v>
      </c>
      <c r="V289" s="41"/>
      <c r="W289" s="41"/>
      <c r="X289" s="41"/>
      <c r="Y289" s="41"/>
      <c r="AA289" s="1087" t="s">
        <v>2378</v>
      </c>
      <c r="AB289" s="1087"/>
      <c r="AC289" s="1087"/>
      <c r="AD289" s="1087"/>
      <c r="AE289" s="1087"/>
      <c r="AF289" s="1087"/>
      <c r="AG289" s="1087"/>
      <c r="AH289" s="1087"/>
      <c r="AI289" s="1087"/>
      <c r="AJ289" s="1087"/>
      <c r="AK289" s="1087"/>
      <c r="BA289" s="43"/>
    </row>
    <row r="290" spans="2:53" ht="12.95" customHeight="1">
      <c r="B290" s="41" t="s">
        <v>699</v>
      </c>
      <c r="C290" s="41"/>
      <c r="D290" s="41"/>
      <c r="E290" s="41"/>
      <c r="F290" s="41"/>
      <c r="H290" s="1085" t="s">
        <v>2343</v>
      </c>
      <c r="I290" s="1085"/>
      <c r="J290" s="1085"/>
      <c r="K290" s="1085"/>
      <c r="L290" s="1085"/>
      <c r="M290" s="1085"/>
      <c r="N290" s="1085"/>
      <c r="O290" s="1085"/>
      <c r="P290" s="1085"/>
      <c r="Q290" s="1085"/>
      <c r="R290" s="1085"/>
      <c r="T290" s="41" t="s">
        <v>699</v>
      </c>
      <c r="V290" s="41"/>
      <c r="W290" s="41"/>
      <c r="X290" s="41"/>
      <c r="Y290" s="41"/>
      <c r="AA290" s="1085" t="s">
        <v>2379</v>
      </c>
      <c r="AB290" s="1085"/>
      <c r="AC290" s="1085"/>
      <c r="AD290" s="1085"/>
      <c r="AE290" s="1085"/>
      <c r="AF290" s="1085"/>
      <c r="AG290" s="1085"/>
      <c r="AH290" s="1085"/>
      <c r="AI290" s="1085"/>
      <c r="AJ290" s="1085"/>
      <c r="AK290" s="1085"/>
      <c r="BA290" s="43"/>
    </row>
    <row r="291" spans="2:53" ht="12.95" customHeight="1">
      <c r="B291" s="41" t="s">
        <v>701</v>
      </c>
      <c r="C291" s="41"/>
      <c r="D291" s="41"/>
      <c r="E291" s="41"/>
      <c r="F291" s="41"/>
      <c r="H291" s="1085" t="s">
        <v>2362</v>
      </c>
      <c r="I291" s="1085"/>
      <c r="J291" s="1085"/>
      <c r="K291" s="1085"/>
      <c r="L291" s="1085"/>
      <c r="M291" s="1085"/>
      <c r="N291" s="1085"/>
      <c r="O291" s="1085"/>
      <c r="P291" s="1085"/>
      <c r="Q291" s="1085"/>
      <c r="R291" s="1085"/>
      <c r="T291" s="41" t="s">
        <v>700</v>
      </c>
      <c r="V291" s="41"/>
      <c r="W291" s="41"/>
      <c r="X291" s="41"/>
      <c r="Y291" s="41"/>
      <c r="AA291" s="1085" t="s">
        <v>2362</v>
      </c>
      <c r="AB291" s="1085"/>
      <c r="AC291" s="1085"/>
      <c r="AD291" s="1085"/>
      <c r="AE291" s="1085"/>
      <c r="AF291" s="1085"/>
      <c r="AG291" s="1085"/>
      <c r="AH291" s="1085"/>
      <c r="AI291" s="1085"/>
      <c r="AJ291" s="1085"/>
      <c r="AK291" s="1085"/>
      <c r="BA291" s="43"/>
    </row>
    <row r="292" spans="2:53" ht="12.95" customHeight="1">
      <c r="B292" s="41" t="s">
        <v>374</v>
      </c>
      <c r="C292" s="41"/>
      <c r="D292" s="41"/>
      <c r="E292" s="41"/>
      <c r="F292" s="41"/>
      <c r="H292" s="1085" t="s">
        <v>2363</v>
      </c>
      <c r="I292" s="1085"/>
      <c r="J292" s="1085"/>
      <c r="K292" s="1085"/>
      <c r="L292" s="1085"/>
      <c r="M292" s="1085"/>
      <c r="N292" s="1085"/>
      <c r="O292" s="1085"/>
      <c r="P292" s="1085"/>
      <c r="Q292" s="1085"/>
      <c r="R292" s="1085"/>
      <c r="T292" s="41" t="s">
        <v>374</v>
      </c>
      <c r="V292" s="41"/>
      <c r="W292" s="41"/>
      <c r="X292" s="41"/>
      <c r="Y292" s="41"/>
      <c r="AA292" s="1085" t="s">
        <v>2380</v>
      </c>
      <c r="AB292" s="1085"/>
      <c r="AC292" s="1085"/>
      <c r="AD292" s="1085"/>
      <c r="AE292" s="1085"/>
      <c r="AF292" s="1085"/>
      <c r="AG292" s="1085"/>
      <c r="AH292" s="1085"/>
      <c r="AI292" s="1085"/>
      <c r="AJ292" s="1085"/>
      <c r="AK292" s="1085"/>
      <c r="BA292" s="43"/>
    </row>
    <row r="293" spans="2:53" ht="12.95" customHeight="1">
      <c r="B293" s="41" t="s">
        <v>375</v>
      </c>
      <c r="C293" s="41"/>
      <c r="D293" s="41"/>
      <c r="E293" s="41"/>
      <c r="F293" s="41"/>
      <c r="G293" s="41"/>
      <c r="H293" s="1431" t="s">
        <v>2364</v>
      </c>
      <c r="I293" s="1431"/>
      <c r="J293" s="1431"/>
      <c r="K293" s="1431"/>
      <c r="L293" s="1431"/>
      <c r="M293" s="1431"/>
      <c r="N293" s="5" t="s">
        <v>818</v>
      </c>
      <c r="O293" s="5"/>
      <c r="P293" s="1435"/>
      <c r="Q293" s="1435"/>
      <c r="R293" s="1435"/>
      <c r="S293" s="41"/>
      <c r="T293" s="41" t="s">
        <v>375</v>
      </c>
      <c r="V293" s="41"/>
      <c r="W293" s="41"/>
      <c r="X293" s="41"/>
      <c r="Y293" s="41"/>
      <c r="AA293" s="1431" t="s">
        <v>2381</v>
      </c>
      <c r="AB293" s="1431"/>
      <c r="AC293" s="1431"/>
      <c r="AD293" s="1431"/>
      <c r="AE293" s="1431"/>
      <c r="AF293" s="1431"/>
      <c r="AG293" s="5" t="s">
        <v>818</v>
      </c>
      <c r="AH293" s="5"/>
      <c r="AI293" s="1435"/>
      <c r="AJ293" s="1435"/>
      <c r="AK293" s="1435"/>
      <c r="BA293" s="43"/>
    </row>
    <row r="294" spans="2:53" ht="12.95" customHeight="1">
      <c r="B294" s="41" t="s">
        <v>376</v>
      </c>
      <c r="C294" s="41"/>
      <c r="D294" s="41"/>
      <c r="E294" s="41"/>
      <c r="F294" s="41"/>
      <c r="G294" s="41"/>
      <c r="H294" s="1284" t="s">
        <v>2365</v>
      </c>
      <c r="I294" s="1284"/>
      <c r="J294" s="1284"/>
      <c r="K294" s="1284"/>
      <c r="L294" s="1284"/>
      <c r="M294" s="1284"/>
      <c r="N294" s="5"/>
      <c r="O294" s="5"/>
      <c r="P294" s="44"/>
      <c r="Q294" s="44"/>
      <c r="R294" s="44"/>
      <c r="S294" s="41"/>
      <c r="T294" s="41" t="s">
        <v>376</v>
      </c>
      <c r="V294" s="41"/>
      <c r="W294" s="41"/>
      <c r="X294" s="41"/>
      <c r="Y294" s="41"/>
      <c r="AA294" s="1284"/>
      <c r="AB294" s="1284"/>
      <c r="AC294" s="1284"/>
      <c r="AD294" s="1284"/>
      <c r="AE294" s="1284"/>
      <c r="AF294" s="1284"/>
      <c r="AG294" s="5"/>
      <c r="AH294" s="5"/>
      <c r="AI294" s="44"/>
      <c r="AJ294" s="44"/>
      <c r="AK294" s="44"/>
      <c r="BA294" s="43"/>
    </row>
    <row r="295" spans="2:53" ht="12.95" customHeight="1">
      <c r="B295" s="41" t="s">
        <v>702</v>
      </c>
      <c r="C295" s="41"/>
      <c r="D295" s="41"/>
      <c r="E295" s="41"/>
      <c r="F295" s="41"/>
      <c r="G295" s="41"/>
      <c r="H295" s="1085" t="s">
        <v>2350</v>
      </c>
      <c r="I295" s="1085"/>
      <c r="J295" s="1085"/>
      <c r="K295" s="1085"/>
      <c r="L295" s="1085"/>
      <c r="M295" s="1085"/>
      <c r="N295" s="1087"/>
      <c r="O295" s="1087"/>
      <c r="P295" s="1087"/>
      <c r="Q295" s="1087"/>
      <c r="R295" s="1087"/>
      <c r="S295" s="41"/>
      <c r="T295" s="41" t="s">
        <v>702</v>
      </c>
      <c r="V295" s="41"/>
      <c r="W295" s="41"/>
      <c r="X295" s="41"/>
      <c r="Y295" s="41"/>
      <c r="AA295" s="1085" t="s">
        <v>2382</v>
      </c>
      <c r="AB295" s="1085"/>
      <c r="AC295" s="1085"/>
      <c r="AD295" s="1085"/>
      <c r="AE295" s="1085"/>
      <c r="AF295" s="1085"/>
      <c r="AG295" s="1087"/>
      <c r="AH295" s="1087"/>
      <c r="AI295" s="1087"/>
      <c r="AJ295" s="1087"/>
      <c r="AK295" s="108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87" t="s">
        <v>2366</v>
      </c>
      <c r="I297" s="1087"/>
      <c r="J297" s="1087"/>
      <c r="K297" s="1087"/>
      <c r="L297" s="1087"/>
      <c r="M297" s="1087"/>
      <c r="N297" s="1087"/>
      <c r="O297" s="1087"/>
      <c r="P297" s="1087"/>
      <c r="Q297" s="1087"/>
      <c r="R297" s="1087"/>
      <c r="T297" s="41" t="s">
        <v>35</v>
      </c>
      <c r="V297" s="41"/>
      <c r="W297" s="41"/>
      <c r="X297" s="41"/>
      <c r="Y297" s="41"/>
      <c r="AA297" s="1087" t="s">
        <v>2383</v>
      </c>
      <c r="AB297" s="1087"/>
      <c r="AC297" s="1087"/>
      <c r="AD297" s="1087"/>
      <c r="AE297" s="1087"/>
      <c r="AF297" s="1087"/>
      <c r="AG297" s="1087"/>
      <c r="AH297" s="1087"/>
      <c r="AI297" s="1087"/>
      <c r="AJ297" s="1087"/>
      <c r="AK297" s="1087"/>
      <c r="BA297" s="43"/>
    </row>
    <row r="298" spans="2:53" ht="12.95" customHeight="1">
      <c r="B298" s="41" t="s">
        <v>699</v>
      </c>
      <c r="C298" s="41"/>
      <c r="D298" s="41"/>
      <c r="E298" s="41"/>
      <c r="F298" s="41"/>
      <c r="H298" s="1085" t="s">
        <v>2367</v>
      </c>
      <c r="I298" s="1085"/>
      <c r="J298" s="1085"/>
      <c r="K298" s="1085"/>
      <c r="L298" s="1085"/>
      <c r="M298" s="1085"/>
      <c r="N298" s="1085"/>
      <c r="O298" s="1085"/>
      <c r="P298" s="1085"/>
      <c r="Q298" s="1085"/>
      <c r="R298" s="1085"/>
      <c r="T298" s="41" t="s">
        <v>699</v>
      </c>
      <c r="V298" s="41"/>
      <c r="W298" s="41"/>
      <c r="X298" s="41"/>
      <c r="Y298" s="41"/>
      <c r="AA298" s="1085" t="s">
        <v>2343</v>
      </c>
      <c r="AB298" s="1085"/>
      <c r="AC298" s="1085"/>
      <c r="AD298" s="1085"/>
      <c r="AE298" s="1085"/>
      <c r="AF298" s="1085"/>
      <c r="AG298" s="1085"/>
      <c r="AH298" s="1085"/>
      <c r="AI298" s="1085"/>
      <c r="AJ298" s="1085"/>
      <c r="AK298" s="1085"/>
      <c r="BA298" s="43"/>
    </row>
    <row r="299" spans="2:53" ht="12.95" customHeight="1">
      <c r="B299" s="41" t="s">
        <v>701</v>
      </c>
      <c r="C299" s="41"/>
      <c r="D299" s="41"/>
      <c r="E299" s="41"/>
      <c r="F299" s="41"/>
      <c r="H299" s="1085" t="s">
        <v>2368</v>
      </c>
      <c r="I299" s="1085"/>
      <c r="J299" s="1085"/>
      <c r="K299" s="1085"/>
      <c r="L299" s="1085"/>
      <c r="M299" s="1085"/>
      <c r="N299" s="1085"/>
      <c r="O299" s="1085"/>
      <c r="P299" s="1085"/>
      <c r="Q299" s="1085"/>
      <c r="R299" s="1085"/>
      <c r="T299" s="41" t="s">
        <v>700</v>
      </c>
      <c r="V299" s="41"/>
      <c r="W299" s="41"/>
      <c r="X299" s="41"/>
      <c r="Y299" s="41"/>
      <c r="AA299" s="1085" t="s">
        <v>2362</v>
      </c>
      <c r="AB299" s="1085"/>
      <c r="AC299" s="1085"/>
      <c r="AD299" s="1085"/>
      <c r="AE299" s="1085"/>
      <c r="AF299" s="1085"/>
      <c r="AG299" s="1085"/>
      <c r="AH299" s="1085"/>
      <c r="AI299" s="1085"/>
      <c r="AJ299" s="1085"/>
      <c r="AK299" s="1085"/>
      <c r="BA299" s="43"/>
    </row>
    <row r="300" spans="2:53" ht="12.95" customHeight="1">
      <c r="B300" s="41" t="s">
        <v>374</v>
      </c>
      <c r="C300" s="41"/>
      <c r="D300" s="41"/>
      <c r="E300" s="41"/>
      <c r="F300" s="41"/>
      <c r="H300" s="1085" t="s">
        <v>2369</v>
      </c>
      <c r="I300" s="1085"/>
      <c r="J300" s="1085"/>
      <c r="K300" s="1085"/>
      <c r="L300" s="1085"/>
      <c r="M300" s="1085"/>
      <c r="N300" s="1085"/>
      <c r="O300" s="1085"/>
      <c r="P300" s="1085"/>
      <c r="Q300" s="1085"/>
      <c r="R300" s="1085"/>
      <c r="T300" s="41" t="s">
        <v>374</v>
      </c>
      <c r="V300" s="41"/>
      <c r="W300" s="41"/>
      <c r="X300" s="41"/>
      <c r="Y300" s="41"/>
      <c r="AA300" s="1085" t="s">
        <v>2363</v>
      </c>
      <c r="AB300" s="1085"/>
      <c r="AC300" s="1085"/>
      <c r="AD300" s="1085"/>
      <c r="AE300" s="1085"/>
      <c r="AF300" s="1085"/>
      <c r="AG300" s="1085"/>
      <c r="AH300" s="1085"/>
      <c r="AI300" s="1085"/>
      <c r="AJ300" s="1085"/>
      <c r="AK300" s="1085"/>
      <c r="BA300" s="43"/>
    </row>
    <row r="301" spans="2:53" ht="12.95" customHeight="1">
      <c r="B301" s="41" t="s">
        <v>375</v>
      </c>
      <c r="C301" s="41"/>
      <c r="D301" s="41"/>
      <c r="E301" s="41"/>
      <c r="F301" s="41"/>
      <c r="G301" s="41"/>
      <c r="H301" s="1431" t="s">
        <v>2370</v>
      </c>
      <c r="I301" s="1431"/>
      <c r="J301" s="1431"/>
      <c r="K301" s="1431"/>
      <c r="L301" s="1431"/>
      <c r="M301" s="1431"/>
      <c r="N301" s="5" t="s">
        <v>818</v>
      </c>
      <c r="O301" s="5"/>
      <c r="P301" s="1435"/>
      <c r="Q301" s="1435"/>
      <c r="R301" s="1435"/>
      <c r="S301" s="41"/>
      <c r="T301" s="41" t="s">
        <v>375</v>
      </c>
      <c r="V301" s="41"/>
      <c r="W301" s="41"/>
      <c r="X301" s="41"/>
      <c r="Y301" s="41"/>
      <c r="AA301" s="1431" t="s">
        <v>2364</v>
      </c>
      <c r="AB301" s="1431"/>
      <c r="AC301" s="1431"/>
      <c r="AD301" s="1431"/>
      <c r="AE301" s="1431"/>
      <c r="AF301" s="1431"/>
      <c r="AG301" s="5" t="s">
        <v>818</v>
      </c>
      <c r="AH301" s="5"/>
      <c r="AI301" s="1435"/>
      <c r="AJ301" s="1435"/>
      <c r="AK301" s="1435"/>
      <c r="BA301" s="43"/>
    </row>
    <row r="302" spans="2:53" ht="12.95" customHeight="1">
      <c r="B302" s="41" t="s">
        <v>376</v>
      </c>
      <c r="C302" s="41"/>
      <c r="D302" s="41"/>
      <c r="E302" s="41"/>
      <c r="F302" s="41"/>
      <c r="G302" s="41"/>
      <c r="H302" s="1284"/>
      <c r="I302" s="1284"/>
      <c r="J302" s="1284"/>
      <c r="K302" s="1284"/>
      <c r="L302" s="1284"/>
      <c r="M302" s="1284"/>
      <c r="N302" s="5"/>
      <c r="O302" s="5"/>
      <c r="P302" s="44"/>
      <c r="Q302" s="44"/>
      <c r="R302" s="44"/>
      <c r="S302" s="41"/>
      <c r="T302" s="41" t="s">
        <v>376</v>
      </c>
      <c r="V302" s="41"/>
      <c r="W302" s="41"/>
      <c r="X302" s="41"/>
      <c r="Y302" s="41"/>
      <c r="AA302" s="1284" t="s">
        <v>2365</v>
      </c>
      <c r="AB302" s="1284"/>
      <c r="AC302" s="1284"/>
      <c r="AD302" s="1284"/>
      <c r="AE302" s="1284"/>
      <c r="AF302" s="1284"/>
      <c r="AG302" s="5"/>
      <c r="AH302" s="5"/>
      <c r="AI302" s="44"/>
      <c r="AJ302" s="44"/>
      <c r="AK302" s="44"/>
      <c r="BA302" s="43"/>
    </row>
    <row r="303" spans="2:53" ht="12.95" customHeight="1">
      <c r="B303" s="41" t="s">
        <v>702</v>
      </c>
      <c r="C303" s="41"/>
      <c r="D303" s="41"/>
      <c r="E303" s="41"/>
      <c r="F303" s="41"/>
      <c r="G303" s="41"/>
      <c r="H303" s="1085" t="s">
        <v>2371</v>
      </c>
      <c r="I303" s="1085"/>
      <c r="J303" s="1085"/>
      <c r="K303" s="1085"/>
      <c r="L303" s="1085"/>
      <c r="M303" s="1085"/>
      <c r="N303" s="1087"/>
      <c r="O303" s="1087"/>
      <c r="P303" s="1087"/>
      <c r="Q303" s="1087"/>
      <c r="R303" s="1087"/>
      <c r="S303" s="41"/>
      <c r="T303" s="41" t="s">
        <v>702</v>
      </c>
      <c r="V303" s="41"/>
      <c r="W303" s="41"/>
      <c r="X303" s="41"/>
      <c r="Y303" s="41"/>
      <c r="AA303" s="1085" t="s">
        <v>2350</v>
      </c>
      <c r="AB303" s="1085"/>
      <c r="AC303" s="1085"/>
      <c r="AD303" s="1085"/>
      <c r="AE303" s="1085"/>
      <c r="AF303" s="1085"/>
      <c r="AG303" s="1087"/>
      <c r="AH303" s="1087"/>
      <c r="AI303" s="1087"/>
      <c r="AJ303" s="1087"/>
      <c r="AK303" s="1087"/>
      <c r="BA303" s="43"/>
    </row>
    <row r="304" spans="2:53" ht="12.95" customHeight="1">
      <c r="C304"/>
      <c r="BA304" s="43"/>
    </row>
    <row r="305" spans="2:53" ht="12.95" customHeight="1">
      <c r="B305" s="41" t="s">
        <v>703</v>
      </c>
      <c r="C305" s="41"/>
      <c r="D305" s="41"/>
      <c r="E305" s="41"/>
      <c r="F305" s="41"/>
      <c r="H305" s="1087" t="s">
        <v>2372</v>
      </c>
      <c r="I305" s="1087"/>
      <c r="J305" s="1087"/>
      <c r="K305" s="1087"/>
      <c r="L305" s="1087"/>
      <c r="M305" s="1087"/>
      <c r="N305" s="1087"/>
      <c r="O305" s="1087"/>
      <c r="P305" s="1087"/>
      <c r="Q305" s="1087"/>
      <c r="R305" s="1087"/>
      <c r="T305" s="5" t="s">
        <v>1105</v>
      </c>
      <c r="V305" s="41"/>
      <c r="W305" s="41"/>
      <c r="X305" s="41"/>
      <c r="Y305" s="41"/>
      <c r="AA305" s="1087" t="s">
        <v>2384</v>
      </c>
      <c r="AB305" s="1087"/>
      <c r="AC305" s="1087"/>
      <c r="AD305" s="1087"/>
      <c r="AE305" s="1087"/>
      <c r="AF305" s="1087"/>
      <c r="AG305" s="1087"/>
      <c r="AH305" s="1087"/>
      <c r="AI305" s="1087"/>
      <c r="AJ305" s="1087"/>
      <c r="AK305" s="1087"/>
      <c r="BA305" s="43"/>
    </row>
    <row r="306" spans="2:53" ht="12.95" customHeight="1">
      <c r="B306" s="41" t="s">
        <v>699</v>
      </c>
      <c r="C306" s="41"/>
      <c r="D306" s="41"/>
      <c r="E306" s="41"/>
      <c r="F306" s="41"/>
      <c r="H306" s="1085" t="s">
        <v>2373</v>
      </c>
      <c r="I306" s="1085"/>
      <c r="J306" s="1085"/>
      <c r="K306" s="1085"/>
      <c r="L306" s="1085"/>
      <c r="M306" s="1085"/>
      <c r="N306" s="1085"/>
      <c r="O306" s="1085"/>
      <c r="P306" s="1085"/>
      <c r="Q306" s="1085"/>
      <c r="R306" s="1085"/>
      <c r="T306" s="41" t="s">
        <v>699</v>
      </c>
      <c r="V306" s="41"/>
      <c r="W306" s="41"/>
      <c r="X306" s="41"/>
      <c r="Y306" s="41"/>
      <c r="AA306" s="1085" t="s">
        <v>2385</v>
      </c>
      <c r="AB306" s="1085"/>
      <c r="AC306" s="1085"/>
      <c r="AD306" s="1085"/>
      <c r="AE306" s="1085"/>
      <c r="AF306" s="1085"/>
      <c r="AG306" s="1085"/>
      <c r="AH306" s="1085"/>
      <c r="AI306" s="1085"/>
      <c r="AJ306" s="1085"/>
      <c r="AK306" s="1085"/>
      <c r="BA306" s="43"/>
    </row>
    <row r="307" spans="2:53" ht="12.95" customHeight="1">
      <c r="B307" s="41" t="s">
        <v>701</v>
      </c>
      <c r="C307" s="41"/>
      <c r="D307" s="41"/>
      <c r="E307" s="41"/>
      <c r="F307" s="41"/>
      <c r="H307" s="1085" t="s">
        <v>2374</v>
      </c>
      <c r="I307" s="1085"/>
      <c r="J307" s="1085"/>
      <c r="K307" s="1085"/>
      <c r="L307" s="1085"/>
      <c r="M307" s="1085"/>
      <c r="N307" s="1085"/>
      <c r="O307" s="1085"/>
      <c r="P307" s="1085"/>
      <c r="Q307" s="1085"/>
      <c r="R307" s="1085"/>
      <c r="T307" s="41" t="s">
        <v>700</v>
      </c>
      <c r="V307" s="41"/>
      <c r="W307" s="41"/>
      <c r="X307" s="41"/>
      <c r="Y307" s="41"/>
      <c r="AA307" s="1085" t="s">
        <v>2362</v>
      </c>
      <c r="AB307" s="1085"/>
      <c r="AC307" s="1085"/>
      <c r="AD307" s="1085"/>
      <c r="AE307" s="1085"/>
      <c r="AF307" s="1085"/>
      <c r="AG307" s="1085"/>
      <c r="AH307" s="1085"/>
      <c r="AI307" s="1085"/>
      <c r="AJ307" s="1085"/>
      <c r="AK307" s="1085"/>
      <c r="BA307" s="43"/>
    </row>
    <row r="308" spans="2:53" ht="12.95" customHeight="1">
      <c r="B308" s="41" t="s">
        <v>374</v>
      </c>
      <c r="C308" s="41"/>
      <c r="D308" s="41"/>
      <c r="E308" s="41"/>
      <c r="F308" s="41"/>
      <c r="H308" s="1085" t="s">
        <v>2375</v>
      </c>
      <c r="I308" s="1085"/>
      <c r="J308" s="1085"/>
      <c r="K308" s="1085"/>
      <c r="L308" s="1085"/>
      <c r="M308" s="1085"/>
      <c r="N308" s="1085"/>
      <c r="O308" s="1085"/>
      <c r="P308" s="1085"/>
      <c r="Q308" s="1085"/>
      <c r="R308" s="1085"/>
      <c r="T308" s="41" t="s">
        <v>374</v>
      </c>
      <c r="V308" s="41"/>
      <c r="W308" s="41"/>
      <c r="X308" s="41"/>
      <c r="Y308" s="41"/>
      <c r="AA308" s="1085" t="s">
        <v>2386</v>
      </c>
      <c r="AB308" s="1085"/>
      <c r="AC308" s="1085"/>
      <c r="AD308" s="1085"/>
      <c r="AE308" s="1085"/>
      <c r="AF308" s="1085"/>
      <c r="AG308" s="1085"/>
      <c r="AH308" s="1085"/>
      <c r="AI308" s="1085"/>
      <c r="AJ308" s="1085"/>
      <c r="AK308" s="1085"/>
      <c r="BA308" s="43"/>
    </row>
    <row r="309" spans="2:53" ht="12.95" customHeight="1">
      <c r="B309" s="41" t="s">
        <v>375</v>
      </c>
      <c r="C309" s="41"/>
      <c r="D309" s="41"/>
      <c r="E309" s="41"/>
      <c r="F309" s="41"/>
      <c r="G309" s="41"/>
      <c r="H309" s="1431" t="s">
        <v>2376</v>
      </c>
      <c r="I309" s="1431"/>
      <c r="J309" s="1431"/>
      <c r="K309" s="1431"/>
      <c r="L309" s="1431"/>
      <c r="M309" s="1431"/>
      <c r="N309" s="5" t="s">
        <v>818</v>
      </c>
      <c r="O309" s="5"/>
      <c r="P309" s="1435"/>
      <c r="Q309" s="1435"/>
      <c r="R309" s="1435"/>
      <c r="S309" s="41"/>
      <c r="T309" s="41" t="s">
        <v>375</v>
      </c>
      <c r="V309" s="41"/>
      <c r="W309" s="41"/>
      <c r="X309" s="41"/>
      <c r="Y309" s="41"/>
      <c r="AA309" s="1431" t="s">
        <v>2387</v>
      </c>
      <c r="AB309" s="1431"/>
      <c r="AC309" s="1431"/>
      <c r="AD309" s="1431"/>
      <c r="AE309" s="1431"/>
      <c r="AF309" s="1431"/>
      <c r="AG309" s="5" t="s">
        <v>818</v>
      </c>
      <c r="AH309" s="5"/>
      <c r="AI309" s="1435"/>
      <c r="AJ309" s="1435"/>
      <c r="AK309" s="1435"/>
      <c r="BA309" s="43"/>
    </row>
    <row r="310" spans="2:53" ht="12.95" customHeight="1">
      <c r="B310" s="41" t="s">
        <v>376</v>
      </c>
      <c r="C310" s="41"/>
      <c r="D310" s="41"/>
      <c r="E310" s="41"/>
      <c r="F310" s="41"/>
      <c r="G310" s="41"/>
      <c r="H310" s="1284"/>
      <c r="I310" s="1284"/>
      <c r="J310" s="1284"/>
      <c r="K310" s="1284"/>
      <c r="L310" s="1284"/>
      <c r="M310" s="1284"/>
      <c r="N310" s="5"/>
      <c r="O310" s="5"/>
      <c r="P310" s="44"/>
      <c r="Q310" s="44"/>
      <c r="R310" s="44"/>
      <c r="S310" s="41"/>
      <c r="T310" s="41" t="s">
        <v>376</v>
      </c>
      <c r="V310" s="41"/>
      <c r="W310" s="41"/>
      <c r="X310" s="41"/>
      <c r="Y310" s="41"/>
      <c r="AA310" s="1284"/>
      <c r="AB310" s="1284"/>
      <c r="AC310" s="1284"/>
      <c r="AD310" s="1284"/>
      <c r="AE310" s="1284"/>
      <c r="AF310" s="1284"/>
      <c r="AG310" s="5"/>
      <c r="AH310" s="5"/>
      <c r="AI310" s="44"/>
      <c r="AJ310" s="44"/>
      <c r="AK310" s="44"/>
      <c r="BA310" s="43"/>
    </row>
    <row r="311" spans="2:53" ht="12.95" customHeight="1">
      <c r="B311" s="41" t="s">
        <v>702</v>
      </c>
      <c r="C311" s="41"/>
      <c r="D311" s="41"/>
      <c r="E311" s="41"/>
      <c r="F311" s="41"/>
      <c r="G311" s="41"/>
      <c r="H311" s="1085" t="s">
        <v>2377</v>
      </c>
      <c r="I311" s="1085"/>
      <c r="J311" s="1085"/>
      <c r="K311" s="1085"/>
      <c r="L311" s="1085"/>
      <c r="M311" s="1085"/>
      <c r="N311" s="1087"/>
      <c r="O311" s="1087"/>
      <c r="P311" s="1087"/>
      <c r="Q311" s="1087"/>
      <c r="R311" s="1087"/>
      <c r="S311" s="41"/>
      <c r="T311" s="41" t="s">
        <v>702</v>
      </c>
      <c r="V311" s="41"/>
      <c r="W311" s="41"/>
      <c r="X311" s="41"/>
      <c r="Y311" s="41"/>
      <c r="AA311" s="1085" t="s">
        <v>2388</v>
      </c>
      <c r="AB311" s="1085"/>
      <c r="AC311" s="1085"/>
      <c r="AD311" s="1085"/>
      <c r="AE311" s="1085"/>
      <c r="AF311" s="1085"/>
      <c r="AG311" s="1087"/>
      <c r="AH311" s="1087"/>
      <c r="AI311" s="1087"/>
      <c r="AJ311" s="1087"/>
      <c r="AK311" s="1087"/>
      <c r="BA311" s="43"/>
    </row>
    <row r="312" spans="2:53" ht="12.95" customHeight="1">
      <c r="C312"/>
      <c r="BA312" s="43"/>
    </row>
    <row r="313" spans="2:53" ht="12.95" customHeight="1">
      <c r="B313" s="5" t="s">
        <v>1146</v>
      </c>
      <c r="C313" s="41"/>
      <c r="D313" s="41"/>
      <c r="E313" s="41"/>
      <c r="F313" s="41"/>
      <c r="H313" s="1087"/>
      <c r="I313" s="1087"/>
      <c r="J313" s="1087"/>
      <c r="K313" s="1087"/>
      <c r="L313" s="1087"/>
      <c r="M313" s="1087"/>
      <c r="N313" s="1087"/>
      <c r="O313" s="1087"/>
      <c r="P313" s="1087"/>
      <c r="Q313" s="1087"/>
      <c r="R313" s="1087"/>
      <c r="T313" s="41" t="s">
        <v>36</v>
      </c>
      <c r="V313" s="41"/>
      <c r="W313" s="41"/>
      <c r="X313" s="41"/>
      <c r="Y313" s="41"/>
      <c r="AA313" s="1087" t="s">
        <v>2389</v>
      </c>
      <c r="AB313" s="1087"/>
      <c r="AC313" s="1087"/>
      <c r="AD313" s="1087"/>
      <c r="AE313" s="1087"/>
      <c r="AF313" s="1087"/>
      <c r="AG313" s="1087"/>
      <c r="AH313" s="1087"/>
      <c r="AI313" s="1087"/>
      <c r="AJ313" s="1087"/>
      <c r="AK313" s="1087"/>
      <c r="BA313" s="43"/>
    </row>
    <row r="314" spans="2:53" ht="12.95" customHeight="1">
      <c r="B314" s="41" t="s">
        <v>699</v>
      </c>
      <c r="C314" s="41"/>
      <c r="D314" s="41"/>
      <c r="E314" s="41"/>
      <c r="F314" s="41"/>
      <c r="H314" s="1085"/>
      <c r="I314" s="1085"/>
      <c r="J314" s="1085"/>
      <c r="K314" s="1085"/>
      <c r="L314" s="1085"/>
      <c r="M314" s="1085"/>
      <c r="N314" s="1085"/>
      <c r="O314" s="1085"/>
      <c r="P314" s="1085"/>
      <c r="Q314" s="1085"/>
      <c r="R314" s="1085"/>
      <c r="T314" s="41" t="s">
        <v>699</v>
      </c>
      <c r="V314" s="41"/>
      <c r="W314" s="41"/>
      <c r="X314" s="41"/>
      <c r="Y314" s="41"/>
      <c r="AA314" s="1085" t="s">
        <v>2390</v>
      </c>
      <c r="AB314" s="1085"/>
      <c r="AC314" s="1085"/>
      <c r="AD314" s="1085"/>
      <c r="AE314" s="1085"/>
      <c r="AF314" s="1085"/>
      <c r="AG314" s="1085"/>
      <c r="AH314" s="1085"/>
      <c r="AI314" s="1085"/>
      <c r="AJ314" s="1085"/>
      <c r="AK314" s="1085"/>
      <c r="BA314" s="43"/>
    </row>
    <row r="315" spans="2:53" ht="12.95" customHeight="1">
      <c r="B315" s="41" t="s">
        <v>701</v>
      </c>
      <c r="C315" s="41"/>
      <c r="D315" s="41"/>
      <c r="E315" s="41"/>
      <c r="F315" s="41"/>
      <c r="H315" s="1085"/>
      <c r="I315" s="1085"/>
      <c r="J315" s="1085"/>
      <c r="K315" s="1085"/>
      <c r="L315" s="1085"/>
      <c r="M315" s="1085"/>
      <c r="N315" s="1085"/>
      <c r="O315" s="1085"/>
      <c r="P315" s="1085"/>
      <c r="Q315" s="1085"/>
      <c r="R315" s="1085"/>
      <c r="T315" s="41" t="s">
        <v>700</v>
      </c>
      <c r="V315" s="41"/>
      <c r="W315" s="41"/>
      <c r="X315" s="41"/>
      <c r="Y315" s="41"/>
      <c r="AA315" s="1085" t="s">
        <v>2391</v>
      </c>
      <c r="AB315" s="1085"/>
      <c r="AC315" s="1085"/>
      <c r="AD315" s="1085"/>
      <c r="AE315" s="1085"/>
      <c r="AF315" s="1085"/>
      <c r="AG315" s="1085"/>
      <c r="AH315" s="1085"/>
      <c r="AI315" s="1085"/>
      <c r="AJ315" s="1085"/>
      <c r="AK315" s="1085"/>
      <c r="BA315" s="43"/>
    </row>
    <row r="316" spans="2:53" ht="12.95" customHeight="1">
      <c r="B316" s="41" t="s">
        <v>374</v>
      </c>
      <c r="C316" s="41"/>
      <c r="D316" s="41"/>
      <c r="E316" s="41"/>
      <c r="F316" s="41"/>
      <c r="H316" s="1085"/>
      <c r="I316" s="1085"/>
      <c r="J316" s="1085"/>
      <c r="K316" s="1085"/>
      <c r="L316" s="1085"/>
      <c r="M316" s="1085"/>
      <c r="N316" s="1085"/>
      <c r="O316" s="1085"/>
      <c r="P316" s="1085"/>
      <c r="Q316" s="1085"/>
      <c r="R316" s="1085"/>
      <c r="T316" s="41" t="s">
        <v>374</v>
      </c>
      <c r="V316" s="41"/>
      <c r="W316" s="41"/>
      <c r="X316" s="41"/>
      <c r="Y316" s="41"/>
      <c r="AA316" s="1085" t="s">
        <v>2392</v>
      </c>
      <c r="AB316" s="1085"/>
      <c r="AC316" s="1085"/>
      <c r="AD316" s="1085"/>
      <c r="AE316" s="1085"/>
      <c r="AF316" s="1085"/>
      <c r="AG316" s="1085"/>
      <c r="AH316" s="1085"/>
      <c r="AI316" s="1085"/>
      <c r="AJ316" s="1085"/>
      <c r="AK316" s="1085"/>
      <c r="BA316" s="43"/>
    </row>
    <row r="317" spans="2:53" ht="12.95" customHeight="1">
      <c r="B317" s="41" t="s">
        <v>375</v>
      </c>
      <c r="C317" s="41"/>
      <c r="D317" s="41"/>
      <c r="E317" s="41"/>
      <c r="F317" s="41"/>
      <c r="G317" s="41"/>
      <c r="H317" s="1431"/>
      <c r="I317" s="1431"/>
      <c r="J317" s="1431"/>
      <c r="K317" s="1431"/>
      <c r="L317" s="1431"/>
      <c r="M317" s="1431"/>
      <c r="N317" s="5" t="s">
        <v>818</v>
      </c>
      <c r="O317" s="5"/>
      <c r="P317" s="1435"/>
      <c r="Q317" s="1435"/>
      <c r="R317" s="1435"/>
      <c r="S317" s="41"/>
      <c r="T317" s="41" t="s">
        <v>375</v>
      </c>
      <c r="V317" s="41"/>
      <c r="W317" s="41"/>
      <c r="X317" s="41"/>
      <c r="Y317" s="41"/>
      <c r="AA317" s="1431" t="s">
        <v>2393</v>
      </c>
      <c r="AB317" s="1431"/>
      <c r="AC317" s="1431"/>
      <c r="AD317" s="1431"/>
      <c r="AE317" s="1431"/>
      <c r="AF317" s="1431"/>
      <c r="AG317" s="5" t="s">
        <v>818</v>
      </c>
      <c r="AH317" s="5"/>
      <c r="AI317" s="1435"/>
      <c r="AJ317" s="1435"/>
      <c r="AK317" s="1435"/>
      <c r="BA317" s="43"/>
    </row>
    <row r="318" spans="2:53" ht="12.95" customHeight="1">
      <c r="B318" s="41" t="s">
        <v>376</v>
      </c>
      <c r="C318" s="41"/>
      <c r="D318" s="41"/>
      <c r="E318" s="41"/>
      <c r="F318" s="41"/>
      <c r="G318" s="41"/>
      <c r="H318" s="1284"/>
      <c r="I318" s="1284"/>
      <c r="J318" s="1284"/>
      <c r="K318" s="1284"/>
      <c r="L318" s="1284"/>
      <c r="M318" s="1284"/>
      <c r="N318" s="5"/>
      <c r="O318" s="5"/>
      <c r="P318" s="44"/>
      <c r="Q318" s="44"/>
      <c r="R318" s="44"/>
      <c r="S318" s="41"/>
      <c r="T318" s="41" t="s">
        <v>376</v>
      </c>
      <c r="V318" s="41"/>
      <c r="W318" s="41"/>
      <c r="X318" s="41"/>
      <c r="Y318" s="41"/>
      <c r="AA318" s="1284"/>
      <c r="AB318" s="1284"/>
      <c r="AC318" s="1284"/>
      <c r="AD318" s="1284"/>
      <c r="AE318" s="1284"/>
      <c r="AF318" s="1284"/>
      <c r="AG318" s="5"/>
      <c r="AH318" s="5"/>
      <c r="AI318" s="44"/>
      <c r="AJ318" s="44"/>
      <c r="AK318" s="44"/>
      <c r="BA318" s="43"/>
    </row>
    <row r="319" spans="2:53" ht="12.95" customHeight="1">
      <c r="B319" s="41" t="s">
        <v>702</v>
      </c>
      <c r="C319" s="41"/>
      <c r="D319" s="41"/>
      <c r="E319" s="41"/>
      <c r="F319" s="41"/>
      <c r="G319" s="41"/>
      <c r="H319" s="1085"/>
      <c r="I319" s="1085"/>
      <c r="J319" s="1085"/>
      <c r="K319" s="1085"/>
      <c r="L319" s="1085"/>
      <c r="M319" s="1085"/>
      <c r="N319" s="1087"/>
      <c r="O319" s="1087"/>
      <c r="P319" s="1087"/>
      <c r="Q319" s="1087"/>
      <c r="R319" s="1087"/>
      <c r="S319" s="41"/>
      <c r="T319" s="41" t="s">
        <v>702</v>
      </c>
      <c r="V319" s="41"/>
      <c r="W319" s="41"/>
      <c r="X319" s="41"/>
      <c r="Y319" s="41"/>
      <c r="AA319" s="1085" t="s">
        <v>2394</v>
      </c>
      <c r="AB319" s="1085"/>
      <c r="AC319" s="1085"/>
      <c r="AD319" s="1085"/>
      <c r="AE319" s="1085"/>
      <c r="AF319" s="1085"/>
      <c r="AG319" s="1087"/>
      <c r="AH319" s="1087"/>
      <c r="AI319" s="1087"/>
      <c r="AJ319" s="1087"/>
      <c r="AK319" s="108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87"/>
      <c r="I321" s="1087"/>
      <c r="J321" s="1087"/>
      <c r="K321" s="1087"/>
      <c r="L321" s="1087"/>
      <c r="M321" s="1087"/>
      <c r="N321" s="1087"/>
      <c r="O321" s="1087"/>
      <c r="P321" s="1087"/>
      <c r="Q321" s="1087"/>
      <c r="R321" s="1087"/>
      <c r="T321" s="41" t="s">
        <v>37</v>
      </c>
      <c r="V321" s="41"/>
      <c r="W321" s="41"/>
      <c r="X321" s="41"/>
      <c r="Y321" s="41"/>
      <c r="AA321" s="1087" t="s">
        <v>2395</v>
      </c>
      <c r="AB321" s="1087"/>
      <c r="AC321" s="1087"/>
      <c r="AD321" s="1087"/>
      <c r="AE321" s="1087"/>
      <c r="AF321" s="1087"/>
      <c r="AG321" s="1087"/>
      <c r="AH321" s="1087"/>
      <c r="AI321" s="1087"/>
      <c r="AJ321" s="1087"/>
      <c r="AK321" s="1087"/>
      <c r="BA321" s="43"/>
    </row>
    <row r="322" spans="2:53" ht="12.95" customHeight="1">
      <c r="B322" s="41" t="s">
        <v>699</v>
      </c>
      <c r="C322" s="41"/>
      <c r="D322" s="41"/>
      <c r="E322" s="41"/>
      <c r="F322" s="41"/>
      <c r="H322" s="1085"/>
      <c r="I322" s="1085"/>
      <c r="J322" s="1085"/>
      <c r="K322" s="1085"/>
      <c r="L322" s="1085"/>
      <c r="M322" s="1085"/>
      <c r="N322" s="1085"/>
      <c r="O322" s="1085"/>
      <c r="P322" s="1085"/>
      <c r="Q322" s="1085"/>
      <c r="R322" s="1085"/>
      <c r="T322" s="41" t="s">
        <v>699</v>
      </c>
      <c r="V322" s="41"/>
      <c r="W322" s="41"/>
      <c r="X322" s="41"/>
      <c r="Y322" s="41"/>
      <c r="AA322" s="1085" t="s">
        <v>2396</v>
      </c>
      <c r="AB322" s="1085"/>
      <c r="AC322" s="1085"/>
      <c r="AD322" s="1085"/>
      <c r="AE322" s="1085"/>
      <c r="AF322" s="1085"/>
      <c r="AG322" s="1085"/>
      <c r="AH322" s="1085"/>
      <c r="AI322" s="1085"/>
      <c r="AJ322" s="1085"/>
      <c r="AK322" s="1085"/>
      <c r="BA322" s="43"/>
    </row>
    <row r="323" spans="2:53" ht="12.95" customHeight="1">
      <c r="B323" s="41" t="s">
        <v>701</v>
      </c>
      <c r="C323" s="41"/>
      <c r="D323" s="41"/>
      <c r="E323" s="41"/>
      <c r="F323" s="41"/>
      <c r="H323" s="1085"/>
      <c r="I323" s="1085"/>
      <c r="J323" s="1085"/>
      <c r="K323" s="1085"/>
      <c r="L323" s="1085"/>
      <c r="M323" s="1085"/>
      <c r="N323" s="1085"/>
      <c r="O323" s="1085"/>
      <c r="P323" s="1085"/>
      <c r="Q323" s="1085"/>
      <c r="R323" s="1085"/>
      <c r="T323" s="41" t="s">
        <v>700</v>
      </c>
      <c r="V323" s="41"/>
      <c r="W323" s="41"/>
      <c r="X323" s="41"/>
      <c r="Y323" s="41"/>
      <c r="AA323" s="1085" t="s">
        <v>2397</v>
      </c>
      <c r="AB323" s="1085"/>
      <c r="AC323" s="1085"/>
      <c r="AD323" s="1085"/>
      <c r="AE323" s="1085"/>
      <c r="AF323" s="1085"/>
      <c r="AG323" s="1085"/>
      <c r="AH323" s="1085"/>
      <c r="AI323" s="1085"/>
      <c r="AJ323" s="1085"/>
      <c r="AK323" s="1085"/>
      <c r="BA323" s="43"/>
    </row>
    <row r="324" spans="2:53" ht="12.95" customHeight="1">
      <c r="B324" s="41" t="s">
        <v>374</v>
      </c>
      <c r="C324" s="41"/>
      <c r="D324" s="41"/>
      <c r="E324" s="41"/>
      <c r="F324" s="41"/>
      <c r="H324" s="1085"/>
      <c r="I324" s="1085"/>
      <c r="J324" s="1085"/>
      <c r="K324" s="1085"/>
      <c r="L324" s="1085"/>
      <c r="M324" s="1085"/>
      <c r="N324" s="1085"/>
      <c r="O324" s="1085"/>
      <c r="P324" s="1085"/>
      <c r="Q324" s="1085"/>
      <c r="R324" s="1085"/>
      <c r="T324" s="41" t="s">
        <v>374</v>
      </c>
      <c r="V324" s="41"/>
      <c r="W324" s="41"/>
      <c r="X324" s="41"/>
      <c r="Y324" s="41"/>
      <c r="AA324" s="1085" t="s">
        <v>2398</v>
      </c>
      <c r="AB324" s="1085"/>
      <c r="AC324" s="1085"/>
      <c r="AD324" s="1085"/>
      <c r="AE324" s="1085"/>
      <c r="AF324" s="1085"/>
      <c r="AG324" s="1085"/>
      <c r="AH324" s="1085"/>
      <c r="AI324" s="1085"/>
      <c r="AJ324" s="1085"/>
      <c r="AK324" s="1085"/>
      <c r="BA324" s="43"/>
    </row>
    <row r="325" spans="2:53" ht="12.95" customHeight="1">
      <c r="B325" s="41" t="s">
        <v>375</v>
      </c>
      <c r="C325" s="41"/>
      <c r="D325" s="41"/>
      <c r="E325" s="41"/>
      <c r="F325" s="41"/>
      <c r="G325" s="41"/>
      <c r="H325" s="1431"/>
      <c r="I325" s="1431"/>
      <c r="J325" s="1431"/>
      <c r="K325" s="1431"/>
      <c r="L325" s="1431"/>
      <c r="M325" s="1431"/>
      <c r="N325" s="5" t="s">
        <v>818</v>
      </c>
      <c r="O325" s="5"/>
      <c r="P325" s="1435"/>
      <c r="Q325" s="1435"/>
      <c r="R325" s="1435"/>
      <c r="S325" s="41"/>
      <c r="T325" s="41" t="s">
        <v>375</v>
      </c>
      <c r="V325" s="41"/>
      <c r="W325" s="41"/>
      <c r="X325" s="41"/>
      <c r="Y325" s="41"/>
      <c r="AA325" s="1431" t="s">
        <v>2399</v>
      </c>
      <c r="AB325" s="1431"/>
      <c r="AC325" s="1431"/>
      <c r="AD325" s="1431"/>
      <c r="AE325" s="1431"/>
      <c r="AF325" s="1431"/>
      <c r="AG325" s="5" t="s">
        <v>818</v>
      </c>
      <c r="AH325" s="5"/>
      <c r="AI325" s="1435"/>
      <c r="AJ325" s="1435"/>
      <c r="AK325" s="1435"/>
      <c r="BA325" s="43"/>
    </row>
    <row r="326" spans="2:53" ht="12.95" customHeight="1">
      <c r="B326" s="41" t="s">
        <v>376</v>
      </c>
      <c r="C326" s="41"/>
      <c r="D326" s="41"/>
      <c r="E326" s="41"/>
      <c r="F326" s="41"/>
      <c r="G326" s="41"/>
      <c r="H326" s="1284"/>
      <c r="I326" s="1284"/>
      <c r="J326" s="1284"/>
      <c r="K326" s="1284"/>
      <c r="L326" s="1284"/>
      <c r="M326" s="1284"/>
      <c r="N326" s="5"/>
      <c r="O326" s="5"/>
      <c r="P326" s="44"/>
      <c r="Q326" s="44"/>
      <c r="R326" s="44"/>
      <c r="S326" s="41"/>
      <c r="T326" s="41" t="s">
        <v>376</v>
      </c>
      <c r="V326" s="41"/>
      <c r="W326" s="41"/>
      <c r="X326" s="41"/>
      <c r="Y326" s="41"/>
      <c r="AA326" s="1284" t="s">
        <v>2400</v>
      </c>
      <c r="AB326" s="1284"/>
      <c r="AC326" s="1284"/>
      <c r="AD326" s="1284"/>
      <c r="AE326" s="1284"/>
      <c r="AF326" s="1284"/>
      <c r="AG326" s="5"/>
      <c r="AH326" s="5"/>
      <c r="AI326" s="44"/>
      <c r="AJ326" s="44"/>
      <c r="AK326" s="44"/>
      <c r="BA326" s="43"/>
    </row>
    <row r="327" spans="2:53" ht="12.95" customHeight="1">
      <c r="B327" s="41" t="s">
        <v>702</v>
      </c>
      <c r="C327" s="41"/>
      <c r="D327" s="41"/>
      <c r="E327" s="41"/>
      <c r="F327" s="41"/>
      <c r="G327" s="41"/>
      <c r="H327" s="1085"/>
      <c r="I327" s="1085"/>
      <c r="J327" s="1085"/>
      <c r="K327" s="1085"/>
      <c r="L327" s="1085"/>
      <c r="M327" s="1085"/>
      <c r="N327" s="1087"/>
      <c r="O327" s="1087"/>
      <c r="P327" s="1087"/>
      <c r="Q327" s="1087"/>
      <c r="R327" s="1087"/>
      <c r="S327" s="41"/>
      <c r="T327" s="41" t="s">
        <v>702</v>
      </c>
      <c r="V327" s="41"/>
      <c r="W327" s="41"/>
      <c r="X327" s="41"/>
      <c r="Y327" s="41"/>
      <c r="AA327" s="1085" t="s">
        <v>2401</v>
      </c>
      <c r="AB327" s="1085"/>
      <c r="AC327" s="1085"/>
      <c r="AD327" s="1085"/>
      <c r="AE327" s="1085"/>
      <c r="AF327" s="1085"/>
      <c r="AG327" s="1087"/>
      <c r="AH327" s="1087"/>
      <c r="AI327" s="1087"/>
      <c r="AJ327" s="1087"/>
      <c r="AK327" s="108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87"/>
      <c r="I329" s="1087"/>
      <c r="J329" s="1087"/>
      <c r="K329" s="1087"/>
      <c r="L329" s="1087"/>
      <c r="M329" s="1087"/>
      <c r="N329" s="1087"/>
      <c r="O329" s="1087"/>
      <c r="P329" s="1087"/>
      <c r="Q329" s="1087"/>
      <c r="R329" s="1087"/>
      <c r="T329" s="5" t="s">
        <v>1106</v>
      </c>
      <c r="V329" s="41"/>
      <c r="W329" s="41"/>
      <c r="X329" s="41"/>
      <c r="Y329" s="41"/>
      <c r="AA329" s="1087" t="s">
        <v>2402</v>
      </c>
      <c r="AB329" s="1087"/>
      <c r="AC329" s="1087"/>
      <c r="AD329" s="1087"/>
      <c r="AE329" s="1087"/>
      <c r="AF329" s="1087"/>
      <c r="AG329" s="1087"/>
      <c r="AH329" s="1087"/>
      <c r="AI329" s="1087"/>
      <c r="AJ329" s="1087"/>
      <c r="AK329" s="1087"/>
      <c r="BA329" s="43"/>
    </row>
    <row r="330" spans="2:53" ht="12.95" customHeight="1">
      <c r="B330" s="41" t="s">
        <v>699</v>
      </c>
      <c r="C330" s="41"/>
      <c r="D330" s="41"/>
      <c r="E330" s="41"/>
      <c r="F330" s="41"/>
      <c r="H330" s="1085"/>
      <c r="I330" s="1085"/>
      <c r="J330" s="1085"/>
      <c r="K330" s="1085"/>
      <c r="L330" s="1085"/>
      <c r="M330" s="1085"/>
      <c r="N330" s="1085"/>
      <c r="O330" s="1085"/>
      <c r="P330" s="1085"/>
      <c r="Q330" s="1085"/>
      <c r="R330" s="1085"/>
      <c r="T330" s="41" t="s">
        <v>699</v>
      </c>
      <c r="V330" s="41"/>
      <c r="W330" s="41"/>
      <c r="X330" s="41"/>
      <c r="Y330" s="41"/>
      <c r="AA330" s="1085" t="s">
        <v>2343</v>
      </c>
      <c r="AB330" s="1085"/>
      <c r="AC330" s="1085"/>
      <c r="AD330" s="1085"/>
      <c r="AE330" s="1085"/>
      <c r="AF330" s="1085"/>
      <c r="AG330" s="1085"/>
      <c r="AH330" s="1085"/>
      <c r="AI330" s="1085"/>
      <c r="AJ330" s="1085"/>
      <c r="AK330" s="1085"/>
      <c r="BA330" s="43"/>
    </row>
    <row r="331" spans="2:53" ht="12.95" customHeight="1">
      <c r="B331" s="41" t="s">
        <v>701</v>
      </c>
      <c r="C331" s="41"/>
      <c r="D331" s="41"/>
      <c r="E331" s="41"/>
      <c r="F331" s="41"/>
      <c r="G331" s="41"/>
      <c r="H331" s="1085"/>
      <c r="I331" s="1085"/>
      <c r="J331" s="1085"/>
      <c r="K331" s="1085"/>
      <c r="L331" s="1085"/>
      <c r="M331" s="1085"/>
      <c r="N331" s="1085"/>
      <c r="O331" s="1085"/>
      <c r="P331" s="1085"/>
      <c r="Q331" s="1085"/>
      <c r="R331" s="1085"/>
      <c r="T331" s="41" t="s">
        <v>700</v>
      </c>
      <c r="V331" s="41"/>
      <c r="W331" s="41"/>
      <c r="X331" s="41"/>
      <c r="Y331" s="41"/>
      <c r="AA331" s="1085" t="s">
        <v>2362</v>
      </c>
      <c r="AB331" s="1085"/>
      <c r="AC331" s="1085"/>
      <c r="AD331" s="1085"/>
      <c r="AE331" s="1085"/>
      <c r="AF331" s="1085"/>
      <c r="AG331" s="1085"/>
      <c r="AH331" s="1085"/>
      <c r="AI331" s="1085"/>
      <c r="AJ331" s="1085"/>
      <c r="AK331" s="1085"/>
      <c r="BA331" s="43"/>
    </row>
    <row r="332" spans="2:53" ht="12.95" customHeight="1">
      <c r="B332" s="41" t="s">
        <v>374</v>
      </c>
      <c r="C332" s="41"/>
      <c r="D332" s="41"/>
      <c r="E332" s="41"/>
      <c r="F332" s="41"/>
      <c r="H332" s="1085"/>
      <c r="I332" s="1085"/>
      <c r="J332" s="1085"/>
      <c r="K332" s="1085"/>
      <c r="L332" s="1085"/>
      <c r="M332" s="1085"/>
      <c r="N332" s="1085"/>
      <c r="O332" s="1085"/>
      <c r="P332" s="1085"/>
      <c r="Q332" s="1085"/>
      <c r="R332" s="1085"/>
      <c r="T332" s="41" t="s">
        <v>374</v>
      </c>
      <c r="V332" s="41"/>
      <c r="W332" s="41"/>
      <c r="X332" s="41"/>
      <c r="Y332" s="41"/>
      <c r="AA332" s="1085" t="s">
        <v>2403</v>
      </c>
      <c r="AB332" s="1085"/>
      <c r="AC332" s="1085"/>
      <c r="AD332" s="1085"/>
      <c r="AE332" s="1085"/>
      <c r="AF332" s="1085"/>
      <c r="AG332" s="1085"/>
      <c r="AH332" s="1085"/>
      <c r="AI332" s="1085"/>
      <c r="AJ332" s="1085"/>
      <c r="AK332" s="1085"/>
      <c r="BA332" s="43"/>
    </row>
    <row r="333" spans="2:53" ht="12.95" customHeight="1">
      <c r="B333" s="41" t="s">
        <v>375</v>
      </c>
      <c r="C333" s="41"/>
      <c r="D333" s="41"/>
      <c r="E333" s="41"/>
      <c r="F333" s="41"/>
      <c r="G333" s="41"/>
      <c r="H333" s="1431"/>
      <c r="I333" s="1431"/>
      <c r="J333" s="1431"/>
      <c r="K333" s="1431"/>
      <c r="L333" s="1431"/>
      <c r="M333" s="1431"/>
      <c r="N333" s="5" t="s">
        <v>818</v>
      </c>
      <c r="O333" s="5"/>
      <c r="P333" s="1435"/>
      <c r="Q333" s="1435"/>
      <c r="R333" s="1435"/>
      <c r="T333" s="41" t="s">
        <v>375</v>
      </c>
      <c r="V333" s="41"/>
      <c r="W333" s="41"/>
      <c r="X333" s="41"/>
      <c r="Y333" s="41"/>
      <c r="AA333" s="1431" t="s">
        <v>2404</v>
      </c>
      <c r="AB333" s="1431"/>
      <c r="AC333" s="1431"/>
      <c r="AD333" s="1431"/>
      <c r="AE333" s="1431"/>
      <c r="AF333" s="1431"/>
      <c r="AG333" s="5" t="s">
        <v>818</v>
      </c>
      <c r="AH333" s="5"/>
      <c r="AI333" s="1435"/>
      <c r="AJ333" s="1435"/>
      <c r="AK333" s="1435"/>
      <c r="BA333" s="43"/>
    </row>
    <row r="334" spans="2:53" ht="12.95" customHeight="1">
      <c r="B334" s="41" t="s">
        <v>376</v>
      </c>
      <c r="C334" s="41"/>
      <c r="D334" s="41"/>
      <c r="E334" s="41"/>
      <c r="F334" s="41"/>
      <c r="G334" s="41"/>
      <c r="H334" s="1284"/>
      <c r="I334" s="1284"/>
      <c r="J334" s="1284"/>
      <c r="K334" s="1284"/>
      <c r="L334" s="1284"/>
      <c r="M334" s="1284"/>
      <c r="N334" s="5"/>
      <c r="O334" s="5"/>
      <c r="P334" s="44"/>
      <c r="Q334" s="44"/>
      <c r="R334" s="44"/>
      <c r="T334" s="41" t="s">
        <v>376</v>
      </c>
      <c r="V334" s="41"/>
      <c r="W334" s="41"/>
      <c r="X334" s="41"/>
      <c r="Y334" s="41"/>
      <c r="AA334" s="1284" t="s">
        <v>2365</v>
      </c>
      <c r="AB334" s="1284"/>
      <c r="AC334" s="1284"/>
      <c r="AD334" s="1284"/>
      <c r="AE334" s="1284"/>
      <c r="AF334" s="1284"/>
      <c r="AG334" s="5"/>
      <c r="AH334" s="5"/>
      <c r="AI334" s="44"/>
      <c r="AJ334" s="44"/>
      <c r="AK334" s="44"/>
      <c r="BA334" s="43"/>
    </row>
    <row r="335" spans="2:53" ht="12.95" customHeight="1">
      <c r="B335" s="41" t="s">
        <v>702</v>
      </c>
      <c r="C335" s="41"/>
      <c r="D335" s="41"/>
      <c r="E335" s="41"/>
      <c r="F335" s="41"/>
      <c r="G335" s="41"/>
      <c r="H335" s="1085"/>
      <c r="I335" s="1085"/>
      <c r="J335" s="1085"/>
      <c r="K335" s="1085"/>
      <c r="L335" s="1085"/>
      <c r="M335" s="1085"/>
      <c r="N335" s="1087"/>
      <c r="O335" s="1087"/>
      <c r="P335" s="1087"/>
      <c r="Q335" s="1087"/>
      <c r="R335" s="1087"/>
      <c r="T335" s="41" t="s">
        <v>702</v>
      </c>
      <c r="V335" s="41"/>
      <c r="W335" s="41"/>
      <c r="X335" s="41"/>
      <c r="Y335" s="41"/>
      <c r="AA335" s="1085" t="s">
        <v>2405</v>
      </c>
      <c r="AB335" s="1085"/>
      <c r="AC335" s="1085"/>
      <c r="AD335" s="1085"/>
      <c r="AE335" s="1085"/>
      <c r="AF335" s="1085"/>
      <c r="AG335" s="1087"/>
      <c r="AH335" s="1087"/>
      <c r="AI335" s="1087"/>
      <c r="AJ335" s="1087"/>
      <c r="AK335" s="108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87"/>
      <c r="I337" s="1087"/>
      <c r="J337" s="1087"/>
      <c r="K337" s="1087"/>
      <c r="L337" s="1087"/>
      <c r="M337" s="1087"/>
      <c r="N337" s="1087"/>
      <c r="O337" s="1087"/>
      <c r="P337" s="1087"/>
      <c r="Q337" s="1087"/>
      <c r="R337" s="1087"/>
      <c r="T337" s="358" t="s">
        <v>1145</v>
      </c>
      <c r="AA337" s="1087"/>
      <c r="AB337" s="1087"/>
      <c r="AC337" s="1087"/>
      <c r="AD337" s="1087"/>
      <c r="AE337" s="1087"/>
      <c r="AF337" s="1087"/>
      <c r="AG337" s="1087"/>
      <c r="AH337" s="1087"/>
      <c r="AI337" s="1087"/>
      <c r="AJ337" s="1087"/>
      <c r="AK337" s="1087"/>
      <c r="BA337" s="43"/>
    </row>
    <row r="338" spans="2:53" ht="12.95" customHeight="1">
      <c r="B338" s="358" t="s">
        <v>699</v>
      </c>
      <c r="C338" s="358"/>
      <c r="D338" s="358"/>
      <c r="E338" s="358"/>
      <c r="F338" s="358"/>
      <c r="G338" s="358"/>
      <c r="H338" s="1085"/>
      <c r="I338" s="1085"/>
      <c r="J338" s="1085"/>
      <c r="K338" s="1085"/>
      <c r="L338" s="1085"/>
      <c r="M338" s="1085"/>
      <c r="N338" s="1085"/>
      <c r="O338" s="1085"/>
      <c r="P338" s="1085"/>
      <c r="Q338" s="1085"/>
      <c r="R338" s="1085"/>
      <c r="T338" s="41" t="s">
        <v>699</v>
      </c>
      <c r="AA338" s="1085"/>
      <c r="AB338" s="1085"/>
      <c r="AC338" s="1085"/>
      <c r="AD338" s="1085"/>
      <c r="AE338" s="1085"/>
      <c r="AF338" s="1085"/>
      <c r="AG338" s="1085"/>
      <c r="AH338" s="1085"/>
      <c r="AI338" s="1085"/>
      <c r="AJ338" s="1085"/>
      <c r="AK338" s="1085"/>
      <c r="BA338" s="43"/>
    </row>
    <row r="339" spans="2:53" ht="12.95" customHeight="1">
      <c r="B339" s="358" t="s">
        <v>701</v>
      </c>
      <c r="C339" s="358"/>
      <c r="D339" s="358"/>
      <c r="E339" s="358"/>
      <c r="F339" s="358"/>
      <c r="G339" s="358"/>
      <c r="H339" s="1085"/>
      <c r="I339" s="1085"/>
      <c r="J339" s="1085"/>
      <c r="K339" s="1085"/>
      <c r="L339" s="1085"/>
      <c r="M339" s="1085"/>
      <c r="N339" s="1085"/>
      <c r="O339" s="1085"/>
      <c r="P339" s="1085"/>
      <c r="Q339" s="1085"/>
      <c r="R339" s="1085"/>
      <c r="T339" s="41" t="s">
        <v>700</v>
      </c>
      <c r="AA339" s="1085"/>
      <c r="AB339" s="1085"/>
      <c r="AC339" s="1085"/>
      <c r="AD339" s="1085"/>
      <c r="AE339" s="1085"/>
      <c r="AF339" s="1085"/>
      <c r="AG339" s="1085"/>
      <c r="AH339" s="1085"/>
      <c r="AI339" s="1085"/>
      <c r="AJ339" s="1085"/>
      <c r="AK339" s="1085"/>
    </row>
    <row r="340" spans="2:53" ht="12.95" customHeight="1">
      <c r="B340" s="358" t="s">
        <v>374</v>
      </c>
      <c r="C340" s="358"/>
      <c r="D340" s="358"/>
      <c r="E340" s="358"/>
      <c r="F340" s="358"/>
      <c r="G340" s="358"/>
      <c r="H340" s="1085"/>
      <c r="I340" s="1085"/>
      <c r="J340" s="1085"/>
      <c r="K340" s="1085"/>
      <c r="L340" s="1085"/>
      <c r="M340" s="1085"/>
      <c r="N340" s="1085"/>
      <c r="O340" s="1085"/>
      <c r="P340" s="1085"/>
      <c r="Q340" s="1085"/>
      <c r="R340" s="1085"/>
      <c r="T340" s="41" t="s">
        <v>374</v>
      </c>
      <c r="AA340" s="1085"/>
      <c r="AB340" s="1085"/>
      <c r="AC340" s="1085"/>
      <c r="AD340" s="1085"/>
      <c r="AE340" s="1085"/>
      <c r="AF340" s="1085"/>
      <c r="AG340" s="1085"/>
      <c r="AH340" s="1085"/>
      <c r="AI340" s="1085"/>
      <c r="AJ340" s="1085"/>
      <c r="AK340" s="1085"/>
    </row>
    <row r="341" spans="2:53" ht="12.95" customHeight="1">
      <c r="B341" s="358" t="s">
        <v>375</v>
      </c>
      <c r="C341" s="358"/>
      <c r="D341" s="358"/>
      <c r="E341" s="358"/>
      <c r="F341" s="358"/>
      <c r="G341" s="358"/>
      <c r="H341" s="1431"/>
      <c r="I341" s="1431"/>
      <c r="J341" s="1431"/>
      <c r="K341" s="1431"/>
      <c r="L341" s="1431"/>
      <c r="M341" s="1431"/>
      <c r="N341" s="5" t="s">
        <v>818</v>
      </c>
      <c r="O341" s="5"/>
      <c r="P341" s="1435"/>
      <c r="Q341" s="1435"/>
      <c r="R341" s="1435"/>
      <c r="T341" s="41" t="s">
        <v>375</v>
      </c>
      <c r="AA341" s="1431"/>
      <c r="AB341" s="1431"/>
      <c r="AC341" s="1431"/>
      <c r="AD341" s="1431"/>
      <c r="AE341" s="1431"/>
      <c r="AF341" s="1431"/>
      <c r="AG341" s="5" t="s">
        <v>818</v>
      </c>
      <c r="AH341" s="5"/>
      <c r="AI341" s="1435"/>
      <c r="AJ341" s="1435"/>
      <c r="AK341" s="1435"/>
    </row>
    <row r="342" spans="2:53" ht="12.95" customHeight="1">
      <c r="B342" s="358" t="s">
        <v>376</v>
      </c>
      <c r="C342" s="358"/>
      <c r="D342" s="358"/>
      <c r="E342" s="358"/>
      <c r="F342" s="358"/>
      <c r="G342" s="358"/>
      <c r="H342" s="1284"/>
      <c r="I342" s="1284"/>
      <c r="J342" s="1284"/>
      <c r="K342" s="1284"/>
      <c r="L342" s="1284"/>
      <c r="M342" s="1284"/>
      <c r="N342" s="5"/>
      <c r="O342" s="5"/>
      <c r="P342" s="44"/>
      <c r="Q342" s="44"/>
      <c r="R342" s="44"/>
      <c r="T342" s="41" t="s">
        <v>376</v>
      </c>
      <c r="AA342" s="1284"/>
      <c r="AB342" s="1284"/>
      <c r="AC342" s="1284"/>
      <c r="AD342" s="1284"/>
      <c r="AE342" s="1284"/>
      <c r="AF342" s="1284"/>
      <c r="AG342" s="5"/>
      <c r="AH342" s="5"/>
      <c r="AI342" s="44"/>
      <c r="AJ342" s="44"/>
      <c r="AK342" s="44"/>
    </row>
    <row r="343" spans="2:53" ht="12.95" customHeight="1">
      <c r="B343" s="358" t="s">
        <v>702</v>
      </c>
      <c r="C343" s="358"/>
      <c r="D343" s="358"/>
      <c r="E343" s="358"/>
      <c r="F343" s="358"/>
      <c r="G343" s="358"/>
      <c r="H343" s="1085"/>
      <c r="I343" s="1085"/>
      <c r="J343" s="1085"/>
      <c r="K343" s="1085"/>
      <c r="L343" s="1085"/>
      <c r="M343" s="1085"/>
      <c r="N343" s="1087"/>
      <c r="O343" s="1087"/>
      <c r="P343" s="1087"/>
      <c r="Q343" s="1087"/>
      <c r="R343" s="1087"/>
      <c r="T343" s="41" t="s">
        <v>702</v>
      </c>
      <c r="AA343" s="1085"/>
      <c r="AB343" s="1085"/>
      <c r="AC343" s="1085"/>
      <c r="AD343" s="1085"/>
      <c r="AE343" s="1085"/>
      <c r="AF343" s="1085"/>
      <c r="AG343" s="1087"/>
      <c r="AH343" s="1087"/>
      <c r="AI343" s="1087"/>
      <c r="AJ343" s="1087"/>
      <c r="AK343" s="108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087"/>
      <c r="Q345" s="1087"/>
      <c r="R345" s="1087"/>
      <c r="S345" s="1087"/>
      <c r="T345" s="1087"/>
      <c r="U345" s="1087"/>
      <c r="V345" s="1087"/>
      <c r="W345" s="1087"/>
      <c r="X345" s="1087"/>
      <c r="Y345" s="1087"/>
      <c r="Z345" s="1087"/>
    </row>
    <row r="346" spans="2:53" ht="12.95" customHeight="1">
      <c r="C346" s="358"/>
      <c r="D346" s="358"/>
      <c r="E346" s="358"/>
      <c r="F346" s="358"/>
      <c r="G346" s="358"/>
      <c r="I346" s="358" t="s">
        <v>699</v>
      </c>
      <c r="P346" s="1085"/>
      <c r="Q346" s="1085"/>
      <c r="R346" s="1085"/>
      <c r="S346" s="1085"/>
      <c r="T346" s="1085"/>
      <c r="U346" s="1085"/>
      <c r="V346" s="1085"/>
      <c r="W346" s="1085"/>
      <c r="X346" s="1085"/>
      <c r="Y346" s="1085"/>
      <c r="Z346" s="1085"/>
    </row>
    <row r="347" spans="2:53" ht="12.95" customHeight="1">
      <c r="C347" s="358"/>
      <c r="D347" s="358"/>
      <c r="E347" s="358"/>
      <c r="F347" s="358"/>
      <c r="G347" s="358"/>
      <c r="I347" s="358" t="s">
        <v>701</v>
      </c>
      <c r="P347" s="1085"/>
      <c r="Q347" s="1085"/>
      <c r="R347" s="1085"/>
      <c r="S347" s="1085"/>
      <c r="T347" s="1085"/>
      <c r="U347" s="1085"/>
      <c r="V347" s="1085"/>
      <c r="W347" s="1085"/>
      <c r="X347" s="1085"/>
      <c r="Y347" s="1085"/>
      <c r="Z347" s="1085"/>
    </row>
    <row r="348" spans="2:53" ht="12.95" customHeight="1">
      <c r="C348" s="358"/>
      <c r="D348" s="358"/>
      <c r="E348" s="358"/>
      <c r="F348" s="358"/>
      <c r="G348" s="358"/>
      <c r="I348" s="358" t="s">
        <v>374</v>
      </c>
      <c r="P348" s="1085"/>
      <c r="Q348" s="1085"/>
      <c r="R348" s="1085"/>
      <c r="S348" s="1085"/>
      <c r="T348" s="1085"/>
      <c r="U348" s="1085"/>
      <c r="V348" s="1085"/>
      <c r="W348" s="1085"/>
      <c r="X348" s="1085"/>
      <c r="Y348" s="1085"/>
      <c r="Z348" s="1085"/>
    </row>
    <row r="349" spans="2:53" ht="12.95" customHeight="1">
      <c r="C349" s="358"/>
      <c r="D349" s="358"/>
      <c r="E349" s="358"/>
      <c r="F349" s="358"/>
      <c r="G349" s="358"/>
      <c r="I349" s="358" t="s">
        <v>375</v>
      </c>
      <c r="P349" s="1431"/>
      <c r="Q349" s="1431"/>
      <c r="R349" s="1431"/>
      <c r="S349" s="1431"/>
      <c r="T349" s="1431"/>
      <c r="U349" s="1431"/>
      <c r="V349" s="5" t="s">
        <v>818</v>
      </c>
      <c r="W349" s="5"/>
      <c r="X349" s="1435"/>
      <c r="Y349" s="1435"/>
      <c r="Z349" s="1435"/>
    </row>
    <row r="350" spans="2:53" ht="12.95" customHeight="1">
      <c r="C350" s="358"/>
      <c r="D350" s="358"/>
      <c r="E350" s="358"/>
      <c r="F350" s="358"/>
      <c r="G350" s="358"/>
      <c r="I350" s="358" t="s">
        <v>376</v>
      </c>
      <c r="P350" s="1284"/>
      <c r="Q350" s="1284"/>
      <c r="R350" s="1284"/>
      <c r="S350" s="1284"/>
      <c r="T350" s="1284"/>
      <c r="U350" s="1284"/>
      <c r="V350" s="5"/>
      <c r="W350" s="5"/>
      <c r="X350" s="44"/>
      <c r="Y350" s="44"/>
      <c r="Z350" s="44"/>
    </row>
    <row r="351" spans="2:53" ht="12.95" customHeight="1">
      <c r="C351" s="358"/>
      <c r="D351" s="358"/>
      <c r="E351" s="358"/>
      <c r="F351" s="358"/>
      <c r="G351" s="358"/>
      <c r="I351" s="358" t="s">
        <v>702</v>
      </c>
      <c r="P351" s="1085"/>
      <c r="Q351" s="1085"/>
      <c r="R351" s="1085"/>
      <c r="S351" s="1085"/>
      <c r="T351" s="1085"/>
      <c r="U351" s="1085"/>
      <c r="V351" s="1087"/>
      <c r="W351" s="1087"/>
      <c r="X351" s="1087"/>
      <c r="Y351" s="1087"/>
      <c r="Z351" s="108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23" t="s">
        <v>497</v>
      </c>
      <c r="B353" s="1123"/>
      <c r="C353" s="1123"/>
      <c r="D353" s="1123"/>
      <c r="E353" s="1123"/>
      <c r="F353" s="1123"/>
      <c r="G353" s="1123"/>
      <c r="H353" s="1123"/>
      <c r="I353" s="1123"/>
      <c r="J353" s="1123"/>
      <c r="K353" s="1123"/>
      <c r="L353" s="1123"/>
      <c r="M353" s="1123"/>
      <c r="N353" s="1123"/>
      <c r="O353" s="1123"/>
      <c r="P353" s="1123"/>
      <c r="Q353" s="1123"/>
      <c r="R353" s="1123"/>
      <c r="S353" s="1123"/>
      <c r="T353" s="1123"/>
      <c r="U353" s="1123"/>
      <c r="V353" s="1123"/>
      <c r="W353" s="1123"/>
      <c r="X353" s="1123"/>
      <c r="Y353" s="1123"/>
      <c r="Z353" s="1123"/>
      <c r="AA353" s="1123"/>
      <c r="AB353" s="1123"/>
      <c r="AC353" s="1123"/>
      <c r="AD353" s="1123"/>
      <c r="AE353" s="1123"/>
      <c r="AF353" s="1123"/>
      <c r="AG353" s="1123"/>
      <c r="AH353" s="1123"/>
      <c r="AI353" s="1123"/>
      <c r="AJ353" s="1123"/>
      <c r="AK353" s="1123"/>
      <c r="AL353" s="1123"/>
      <c r="AM353" s="1123"/>
      <c r="AN353" s="1123"/>
      <c r="AO353" s="1123"/>
      <c r="AP353" s="1123"/>
      <c r="AQ353" s="1123"/>
      <c r="AR353" s="1123"/>
      <c r="AS353" s="1123"/>
      <c r="AT353" s="1123"/>
    </row>
    <row r="354" spans="1:46" ht="12.95" customHeight="1">
      <c r="A354" s="1123"/>
      <c r="B354" s="1123"/>
      <c r="C354" s="1123"/>
      <c r="D354" s="1123"/>
      <c r="E354" s="1123"/>
      <c r="F354" s="1123"/>
      <c r="G354" s="1123"/>
      <c r="H354" s="1123"/>
      <c r="I354" s="1123"/>
      <c r="J354" s="1123"/>
      <c r="K354" s="1123"/>
      <c r="L354" s="1123"/>
      <c r="M354" s="1123"/>
      <c r="N354" s="1123"/>
      <c r="O354" s="1123"/>
      <c r="P354" s="1123"/>
      <c r="Q354" s="1123"/>
      <c r="R354" s="1123"/>
      <c r="S354" s="1123"/>
      <c r="T354" s="1123"/>
      <c r="U354" s="1123"/>
      <c r="V354" s="1123"/>
      <c r="W354" s="1123"/>
      <c r="X354" s="1123"/>
      <c r="Y354" s="1123"/>
      <c r="Z354" s="1123"/>
      <c r="AA354" s="1123"/>
      <c r="AB354" s="1123"/>
      <c r="AC354" s="1123"/>
      <c r="AD354" s="1123"/>
      <c r="AE354" s="1123"/>
      <c r="AF354" s="1123"/>
      <c r="AG354" s="1123"/>
      <c r="AH354" s="1123"/>
      <c r="AI354" s="1123"/>
      <c r="AJ354" s="1123"/>
      <c r="AK354" s="1123"/>
      <c r="AL354" s="1123"/>
      <c r="AM354" s="1123"/>
      <c r="AN354" s="1123"/>
      <c r="AO354" s="1123"/>
      <c r="AP354" s="1123"/>
      <c r="AQ354" s="1123"/>
      <c r="AR354" s="1123"/>
      <c r="AS354" s="1123"/>
      <c r="AT354" s="112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084" t="s">
        <v>108</v>
      </c>
      <c r="N357" s="1084"/>
      <c r="P357" t="s">
        <v>1949</v>
      </c>
      <c r="AJ357" s="1084" t="s">
        <v>482</v>
      </c>
      <c r="AK357" s="1084"/>
    </row>
    <row r="358" spans="1:46" ht="12.95" customHeight="1">
      <c r="C358"/>
      <c r="D358" s="41" t="s">
        <v>1877</v>
      </c>
      <c r="M358" s="1084" t="s">
        <v>124</v>
      </c>
      <c r="N358" s="1084"/>
      <c r="P358" s="41" t="s">
        <v>1950</v>
      </c>
      <c r="AJ358" s="1364"/>
      <c r="AK358" s="1364"/>
    </row>
    <row r="359" spans="1:46" ht="12.95" customHeight="1">
      <c r="C359"/>
      <c r="D359" t="s">
        <v>313</v>
      </c>
      <c r="M359" s="1084" t="s">
        <v>124</v>
      </c>
      <c r="N359" s="1084"/>
      <c r="P359" t="s">
        <v>1951</v>
      </c>
      <c r="AJ359" s="1084" t="s">
        <v>482</v>
      </c>
      <c r="AK359" s="1084"/>
    </row>
    <row r="360" spans="1:46" ht="12.95" customHeight="1">
      <c r="C360"/>
      <c r="D360" t="s">
        <v>314</v>
      </c>
      <c r="M360" s="1084" t="s">
        <v>124</v>
      </c>
      <c r="N360" s="1084"/>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084" t="s">
        <v>124</v>
      </c>
      <c r="O365" s="1084"/>
      <c r="P365" s="49"/>
      <c r="Q365" s="49"/>
      <c r="R365" s="49"/>
      <c r="S365" s="49"/>
      <c r="T365" s="49"/>
      <c r="U365" s="49"/>
      <c r="V365" s="49"/>
      <c r="W365" s="49"/>
      <c r="X365" s="49"/>
      <c r="Y365" s="49"/>
      <c r="Z365" s="49"/>
      <c r="AC365" s="49"/>
      <c r="AD365" s="49"/>
      <c r="AE365" s="49"/>
    </row>
    <row r="366" spans="1:46" ht="12.95" customHeight="1">
      <c r="C366"/>
      <c r="E366" t="s">
        <v>733</v>
      </c>
      <c r="Y366" s="1084" t="s">
        <v>124</v>
      </c>
      <c r="Z366" s="1084"/>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084" t="s">
        <v>124</v>
      </c>
      <c r="K368" s="108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590</v>
      </c>
      <c r="F371" s="5"/>
      <c r="G371" s="5"/>
      <c r="H371" s="5"/>
      <c r="I371" s="5"/>
      <c r="J371" s="5"/>
      <c r="K371" s="5"/>
      <c r="L371" s="5"/>
      <c r="N371" s="1140"/>
      <c r="O371" s="1140"/>
      <c r="P371" s="1140"/>
      <c r="Q371" s="1140"/>
      <c r="R371" s="5"/>
      <c r="U371" s="5" t="s">
        <v>591</v>
      </c>
      <c r="V371" s="5"/>
      <c r="W371" s="5"/>
      <c r="X371" s="5"/>
      <c r="Y371" s="5"/>
      <c r="Z371" s="5"/>
      <c r="AA371" s="5"/>
      <c r="AB371" s="5"/>
      <c r="AC371" s="1140"/>
      <c r="AD371" s="1140"/>
      <c r="AE371" s="1140"/>
      <c r="AF371" s="1140"/>
      <c r="BE371" t="s">
        <v>108</v>
      </c>
    </row>
    <row r="372" spans="4:57" customFormat="1" ht="12.95" customHeight="1">
      <c r="E372" s="5" t="s">
        <v>592</v>
      </c>
      <c r="F372" s="5"/>
      <c r="G372" s="5"/>
      <c r="H372" s="5"/>
      <c r="I372" s="5"/>
      <c r="J372" s="5"/>
      <c r="K372" s="5"/>
      <c r="L372" s="5"/>
      <c r="N372" s="1140"/>
      <c r="O372" s="1140"/>
      <c r="P372" s="1140"/>
      <c r="Q372" s="1140"/>
      <c r="R372" s="5"/>
      <c r="U372" s="5" t="s">
        <v>593</v>
      </c>
      <c r="V372" s="5"/>
      <c r="W372" s="5"/>
      <c r="X372" s="5"/>
      <c r="Y372" s="5"/>
      <c r="Z372" s="5"/>
      <c r="AA372" s="5"/>
      <c r="AB372" s="5"/>
      <c r="AC372" s="1140"/>
      <c r="AD372" s="1140"/>
      <c r="AE372" s="1140"/>
      <c r="AF372" s="1140"/>
    </row>
    <row r="373" spans="4:57" customFormat="1" ht="12.95" customHeight="1">
      <c r="E373" s="5" t="s">
        <v>64</v>
      </c>
      <c r="F373" s="5"/>
      <c r="G373" s="5"/>
      <c r="H373" s="5"/>
      <c r="I373" s="5"/>
      <c r="J373" s="5"/>
      <c r="K373" s="5"/>
      <c r="L373" s="5"/>
      <c r="N373" s="1140"/>
      <c r="O373" s="1140"/>
      <c r="P373" s="1140"/>
      <c r="Q373" s="1140"/>
      <c r="R373" s="5"/>
      <c r="V373" s="5"/>
      <c r="W373" s="5"/>
      <c r="X373" s="5"/>
      <c r="Y373" s="5"/>
      <c r="Z373" s="5"/>
      <c r="AA373" s="5"/>
      <c r="AB373" s="5"/>
    </row>
    <row r="374" spans="4:57" customFormat="1" ht="12.95" customHeight="1">
      <c r="E374" s="5" t="s">
        <v>65</v>
      </c>
      <c r="F374" s="5"/>
      <c r="G374" s="5"/>
      <c r="H374" s="5"/>
      <c r="I374" s="5"/>
      <c r="J374" s="5"/>
      <c r="K374" s="5"/>
      <c r="L374" s="5"/>
      <c r="N374" s="1588"/>
      <c r="O374" s="1588"/>
      <c r="P374" s="1588"/>
      <c r="Q374" s="1588"/>
      <c r="R374" s="1588"/>
      <c r="S374" s="1588"/>
      <c r="T374" s="1588"/>
      <c r="U374" s="1588"/>
      <c r="V374" s="1588"/>
      <c r="W374" s="1588"/>
      <c r="X374" s="1588"/>
      <c r="Y374" s="1588"/>
      <c r="Z374" s="1588"/>
      <c r="AA374" s="1588"/>
      <c r="AB374" s="1588"/>
      <c r="AC374" s="1588"/>
      <c r="AD374" s="1588"/>
      <c r="AE374" s="1588"/>
      <c r="AF374" s="1588"/>
    </row>
    <row r="375" spans="4:57" customFormat="1" ht="12.95" customHeight="1">
      <c r="E375" s="5"/>
      <c r="F375" s="5"/>
      <c r="G375" s="5"/>
      <c r="H375" s="5"/>
      <c r="I375" s="5"/>
      <c r="J375" s="5"/>
      <c r="K375" s="5"/>
      <c r="L375" s="5"/>
      <c r="N375" s="1589"/>
      <c r="O375" s="1589"/>
      <c r="P375" s="1589"/>
      <c r="Q375" s="1589"/>
      <c r="R375" s="1589"/>
      <c r="S375" s="1589"/>
      <c r="T375" s="1589"/>
      <c r="U375" s="1589"/>
      <c r="V375" s="1589"/>
      <c r="W375" s="1589"/>
      <c r="X375" s="1589"/>
      <c r="Y375" s="1589"/>
      <c r="Z375" s="1589"/>
      <c r="AA375" s="1589"/>
      <c r="AB375" s="1589"/>
      <c r="AC375" s="1589"/>
      <c r="AD375" s="1589"/>
      <c r="AE375" s="1589"/>
      <c r="AF375" s="1589"/>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46"/>
      <c r="T378" s="1146"/>
      <c r="U378" s="367" t="s">
        <v>232</v>
      </c>
      <c r="V378" s="1146"/>
      <c r="W378" s="1146"/>
      <c r="X378" s="358"/>
      <c r="Z378" s="358"/>
      <c r="AA378" s="936" t="s">
        <v>2091</v>
      </c>
      <c r="AB378" s="358" t="s">
        <v>231</v>
      </c>
      <c r="AC378" s="358"/>
      <c r="AD378" s="1146"/>
      <c r="AE378" s="1146"/>
      <c r="AF378" s="367" t="s">
        <v>232</v>
      </c>
      <c r="AG378" s="1146"/>
      <c r="AH378" s="1146"/>
    </row>
    <row r="379" spans="4:57" customFormat="1" ht="12.95" customHeight="1">
      <c r="D379" s="358"/>
      <c r="E379" s="358" t="s">
        <v>1235</v>
      </c>
      <c r="F379" s="358"/>
      <c r="G379" s="358"/>
      <c r="H379" s="358"/>
      <c r="I379" s="358"/>
      <c r="J379" s="358"/>
      <c r="K379" s="358"/>
      <c r="L379" s="358"/>
      <c r="M379" s="358"/>
      <c r="N379" s="1146"/>
      <c r="O379" s="1146"/>
      <c r="P379" s="1146"/>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47" t="s">
        <v>124</v>
      </c>
      <c r="AH380" s="1147"/>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47" t="s">
        <v>124</v>
      </c>
      <c r="AH381" s="1147"/>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47" t="s">
        <v>124</v>
      </c>
      <c r="W382" s="1147"/>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47" t="s">
        <v>124</v>
      </c>
      <c r="W383" s="1147"/>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87" t="s">
        <v>2406</v>
      </c>
      <c r="K386" s="1087"/>
      <c r="L386" s="1087"/>
      <c r="M386" s="1087"/>
      <c r="N386" s="1087"/>
      <c r="O386" s="1087"/>
      <c r="P386" s="1087"/>
      <c r="Q386" s="1087"/>
      <c r="R386" s="1087"/>
      <c r="S386" s="1087"/>
      <c r="T386" s="1087"/>
      <c r="U386" s="1087"/>
      <c r="V386" s="12" t="s">
        <v>710</v>
      </c>
      <c r="W386" s="12"/>
      <c r="X386" s="12"/>
      <c r="Y386" s="12"/>
      <c r="Z386" s="12"/>
      <c r="AA386" s="12"/>
      <c r="AB386" s="12"/>
      <c r="AC386" s="1087"/>
      <c r="AD386" s="1087"/>
      <c r="AE386" s="1087"/>
      <c r="AF386" s="1087"/>
      <c r="AG386" s="1087"/>
      <c r="AH386" s="1087"/>
      <c r="AI386" s="1087"/>
      <c r="AJ386" s="1087"/>
    </row>
    <row r="387" spans="1:36" ht="12.95" customHeight="1">
      <c r="C387"/>
      <c r="D387" s="41" t="s">
        <v>1952</v>
      </c>
      <c r="J387" s="1085" t="s">
        <v>2407</v>
      </c>
      <c r="K387" s="1085"/>
      <c r="L387" s="1085"/>
      <c r="M387" s="1085"/>
      <c r="N387" s="1085"/>
      <c r="O387" s="1085"/>
      <c r="P387" s="1085"/>
      <c r="Q387" s="1085"/>
      <c r="R387" s="1085"/>
      <c r="S387" s="1085"/>
      <c r="T387" s="1085"/>
      <c r="U387" s="1085"/>
      <c r="V387" s="41" t="s">
        <v>1952</v>
      </c>
      <c r="W387" s="12"/>
      <c r="X387" s="12"/>
      <c r="Y387" s="12"/>
      <c r="Z387" s="12"/>
      <c r="AA387" s="12"/>
      <c r="AB387" s="12"/>
      <c r="AC387" s="1087"/>
      <c r="AD387" s="1087"/>
      <c r="AE387" s="1087"/>
      <c r="AF387" s="1087"/>
      <c r="AG387" s="1087"/>
      <c r="AH387" s="1087"/>
      <c r="AI387" s="1087"/>
      <c r="AJ387" s="1087"/>
    </row>
    <row r="388" spans="1:36" ht="12.95" customHeight="1">
      <c r="C388"/>
      <c r="D388" s="41" t="s">
        <v>544</v>
      </c>
      <c r="J388" s="1085" t="s">
        <v>2334</v>
      </c>
      <c r="K388" s="1085"/>
      <c r="L388" s="1085"/>
      <c r="M388" s="1085"/>
      <c r="N388" s="1085"/>
      <c r="O388" s="1085"/>
      <c r="P388" s="1085"/>
      <c r="Q388" s="1085"/>
      <c r="R388" s="1085"/>
      <c r="S388" s="1085"/>
      <c r="T388" s="1085"/>
      <c r="U388" s="1085"/>
      <c r="V388" s="41" t="s">
        <v>544</v>
      </c>
      <c r="W388" s="12"/>
      <c r="X388" s="12"/>
      <c r="Y388" s="12"/>
      <c r="Z388" s="12"/>
      <c r="AA388" s="12"/>
      <c r="AB388" s="12"/>
      <c r="AC388" s="1087"/>
      <c r="AD388" s="1087"/>
      <c r="AE388" s="1087"/>
      <c r="AF388" s="1087"/>
      <c r="AG388" s="1087"/>
      <c r="AH388" s="1087"/>
      <c r="AI388" s="1087"/>
      <c r="AJ388" s="1087"/>
    </row>
    <row r="389" spans="1:36" ht="12.95" customHeight="1">
      <c r="C389"/>
      <c r="D389" t="s">
        <v>1953</v>
      </c>
      <c r="J389" s="1093"/>
      <c r="K389" s="1093"/>
      <c r="L389" s="1093"/>
      <c r="M389" s="1093"/>
      <c r="N389" s="1093"/>
      <c r="O389" s="1093"/>
      <c r="P389" s="1093"/>
      <c r="Q389" s="1093"/>
      <c r="R389" s="1093"/>
      <c r="S389" s="1093"/>
      <c r="T389" s="1093"/>
      <c r="U389" s="1093"/>
      <c r="V389" s="1087"/>
      <c r="W389" s="1087"/>
      <c r="X389" s="1087"/>
      <c r="Y389" s="1087"/>
      <c r="Z389" s="1087"/>
      <c r="AA389" s="1087"/>
      <c r="AB389" s="1087"/>
      <c r="AC389" s="1087"/>
      <c r="AD389" s="1087"/>
      <c r="AE389" s="1087"/>
      <c r="AF389" s="1087"/>
      <c r="AG389" s="1087"/>
      <c r="AH389" s="1087"/>
      <c r="AI389" s="1087"/>
      <c r="AJ389" s="1087"/>
    </row>
    <row r="390" spans="1:36" ht="12.95" customHeight="1">
      <c r="C390"/>
      <c r="D390" t="s">
        <v>554</v>
      </c>
      <c r="Q390" s="1590">
        <v>44511</v>
      </c>
      <c r="R390" s="1590"/>
      <c r="S390" s="1590"/>
      <c r="T390" s="1590"/>
      <c r="U390" s="1590"/>
      <c r="V390" t="s">
        <v>168</v>
      </c>
      <c r="AI390" s="1084" t="s">
        <v>482</v>
      </c>
      <c r="AJ390" s="1084"/>
    </row>
    <row r="391" spans="1:36" ht="12.95" customHeight="1">
      <c r="C391"/>
      <c r="D391" t="s">
        <v>555</v>
      </c>
      <c r="Q391" s="1415">
        <v>45961</v>
      </c>
      <c r="R391" s="1212"/>
      <c r="S391" s="1212"/>
      <c r="T391" s="1212"/>
      <c r="U391" s="1212"/>
      <c r="W391" s="29" t="s">
        <v>20</v>
      </c>
      <c r="AG391" s="1349"/>
      <c r="AH391" s="1349"/>
      <c r="AI391" s="1349"/>
      <c r="AJ391" s="1349"/>
    </row>
    <row r="392" spans="1:36" ht="12.95" customHeight="1">
      <c r="C392"/>
      <c r="D392" t="s">
        <v>274</v>
      </c>
      <c r="Q392" s="1251">
        <v>738000</v>
      </c>
      <c r="R392" s="1251"/>
      <c r="S392" s="1251"/>
      <c r="T392" s="1251"/>
      <c r="U392" s="1251"/>
      <c r="V392" s="41" t="s">
        <v>1954</v>
      </c>
      <c r="AG392" s="1593">
        <v>45657</v>
      </c>
      <c r="AH392" s="1593"/>
      <c r="AI392" s="1593"/>
      <c r="AJ392" s="1593"/>
    </row>
    <row r="393" spans="1:36" ht="12.95" customHeight="1">
      <c r="C393"/>
      <c r="D393" t="s">
        <v>375</v>
      </c>
      <c r="I393" s="1587"/>
      <c r="J393" s="1587"/>
      <c r="K393" s="1587"/>
      <c r="L393" s="1587"/>
      <c r="M393" s="1587"/>
      <c r="N393" s="1587"/>
      <c r="Q393" s="41" t="s">
        <v>818</v>
      </c>
      <c r="S393" s="1552"/>
      <c r="T393" s="1552"/>
      <c r="U393" s="1552"/>
      <c r="V393" t="s">
        <v>19</v>
      </c>
      <c r="AI393" s="1084" t="s">
        <v>482</v>
      </c>
      <c r="AJ393" s="1084"/>
    </row>
    <row r="394" spans="1:36" ht="12.95" customHeight="1">
      <c r="C394"/>
      <c r="D394" t="s">
        <v>169</v>
      </c>
      <c r="Q394" s="1096"/>
      <c r="R394" s="1096"/>
      <c r="S394" s="1096"/>
      <c r="T394" s="1096"/>
      <c r="U394" s="1096"/>
      <c r="V394" t="s">
        <v>170</v>
      </c>
      <c r="AG394" s="1349"/>
      <c r="AH394" s="1349"/>
      <c r="AI394" s="1349"/>
      <c r="AJ394" s="1349"/>
    </row>
    <row r="395" spans="1:36" ht="12.95" customHeight="1">
      <c r="C395"/>
      <c r="D395" t="s">
        <v>25</v>
      </c>
      <c r="Q395" s="1350"/>
      <c r="R395" s="1350"/>
      <c r="S395" s="1350"/>
      <c r="T395" s="1350"/>
      <c r="U395" s="1350"/>
      <c r="V395" t="s">
        <v>1676</v>
      </c>
      <c r="AG395" s="1349"/>
      <c r="AH395" s="1349"/>
      <c r="AI395" s="1349"/>
      <c r="AJ395" s="1349"/>
    </row>
    <row r="396" spans="1:36" ht="12.95" customHeight="1">
      <c r="C396"/>
      <c r="D396" t="s">
        <v>1955</v>
      </c>
      <c r="AG396" s="1349"/>
      <c r="AH396" s="1349"/>
      <c r="AI396" s="1349"/>
      <c r="AJ396" s="1349"/>
    </row>
    <row r="397" spans="1:36" ht="12.95" customHeight="1">
      <c r="C397"/>
      <c r="AG397" s="829"/>
      <c r="AH397" s="829"/>
      <c r="AI397" s="829"/>
      <c r="AJ397" s="829"/>
    </row>
    <row r="398" spans="1:36" ht="12.95" customHeight="1">
      <c r="C398"/>
      <c r="D398" s="41" t="s">
        <v>2191</v>
      </c>
      <c r="AG398" s="829"/>
      <c r="AH398" s="829"/>
      <c r="AI398" s="1084" t="s">
        <v>482</v>
      </c>
      <c r="AJ398" s="1084"/>
    </row>
    <row r="399" spans="1:36" ht="12.95" customHeight="1">
      <c r="C399"/>
      <c r="D399" s="41" t="s">
        <v>1956</v>
      </c>
      <c r="T399" s="1315"/>
      <c r="U399" s="1315"/>
      <c r="V399" s="1315"/>
      <c r="W399" s="1315"/>
      <c r="X399" s="1315"/>
      <c r="Y399" s="1315"/>
      <c r="Z399" s="1315"/>
      <c r="AA399" s="1315"/>
      <c r="AB399" s="1315"/>
      <c r="AC399" s="1315"/>
      <c r="AD399" s="1315"/>
      <c r="AE399" s="1315"/>
      <c r="AF399" s="1315"/>
      <c r="AG399" s="1315"/>
      <c r="AH399" s="1315"/>
      <c r="AI399" s="1315"/>
      <c r="AJ399" s="1315"/>
    </row>
    <row r="400" spans="1:36" ht="12.95" customHeight="1">
      <c r="C400"/>
      <c r="D400" s="41" t="s">
        <v>1957</v>
      </c>
      <c r="T400" s="1315"/>
      <c r="U400" s="1315"/>
      <c r="V400" s="1315"/>
      <c r="W400" s="1315"/>
      <c r="X400" s="1315"/>
      <c r="Y400" s="1315"/>
      <c r="Z400" s="1315"/>
      <c r="AA400" s="1315"/>
      <c r="AB400" s="1315"/>
      <c r="AC400" s="1315"/>
      <c r="AD400" s="1315"/>
      <c r="AE400" s="1315"/>
      <c r="AF400" s="1315"/>
      <c r="AG400" s="1315"/>
      <c r="AH400" s="1315"/>
      <c r="AI400" s="1315"/>
      <c r="AJ400" s="1315"/>
    </row>
    <row r="401" spans="1:36" ht="12.95" customHeight="1">
      <c r="C401"/>
      <c r="AG401" s="829"/>
      <c r="AH401" s="829"/>
      <c r="AI401" s="829"/>
      <c r="AJ401" s="829"/>
    </row>
    <row r="402" spans="1:36" ht="12.95" customHeight="1">
      <c r="C402"/>
      <c r="D402" s="41" t="s">
        <v>1958</v>
      </c>
      <c r="S402" s="1315" t="s">
        <v>482</v>
      </c>
      <c r="T402" s="1315"/>
      <c r="U402" s="1315"/>
      <c r="V402" t="s">
        <v>1959</v>
      </c>
      <c r="AG402" s="1591"/>
      <c r="AH402" s="1591"/>
      <c r="AI402" s="1591"/>
      <c r="AJ402" s="1591"/>
    </row>
    <row r="403" spans="1:36" ht="12.95" customHeight="1">
      <c r="C403"/>
      <c r="D403" s="41" t="s">
        <v>1960</v>
      </c>
      <c r="S403" s="1315" t="s">
        <v>124</v>
      </c>
      <c r="T403" s="1315"/>
      <c r="U403" s="1315"/>
      <c r="V403" t="s">
        <v>1961</v>
      </c>
      <c r="AE403" s="1351"/>
      <c r="AF403" s="1351"/>
      <c r="AG403" s="1351"/>
      <c r="AH403" s="1351"/>
      <c r="AI403" s="1351"/>
      <c r="AJ403" s="1351"/>
    </row>
    <row r="404" spans="1:36" ht="12.95" customHeight="1">
      <c r="C404"/>
      <c r="D404" s="41" t="s">
        <v>1962</v>
      </c>
      <c r="K404" s="1442"/>
      <c r="L404" s="1442"/>
      <c r="M404" s="1442"/>
      <c r="N404" s="1442"/>
      <c r="O404" s="1442"/>
      <c r="P404" s="1442"/>
      <c r="Q404" s="1442"/>
      <c r="R404" s="1442"/>
      <c r="S404" s="1442"/>
      <c r="T404" s="1442"/>
      <c r="U404" s="1442"/>
      <c r="V404" s="1442"/>
      <c r="W404" s="1442"/>
      <c r="X404" s="1442"/>
      <c r="Y404" s="1442"/>
      <c r="Z404" s="1442"/>
      <c r="AA404" s="1442"/>
      <c r="AB404" s="1442"/>
      <c r="AC404" s="1442"/>
      <c r="AD404" s="1442"/>
      <c r="AE404" s="1442"/>
      <c r="AF404" s="1442"/>
      <c r="AG404" s="1442"/>
      <c r="AH404" s="1442"/>
      <c r="AI404" s="1442"/>
      <c r="AJ404" s="1442"/>
    </row>
    <row r="405" spans="1:36" ht="12.95" customHeight="1">
      <c r="C405"/>
      <c r="D405" s="41" t="s">
        <v>1963</v>
      </c>
      <c r="K405" s="1442"/>
      <c r="L405" s="1442"/>
      <c r="M405" s="1442"/>
      <c r="N405" s="1442"/>
      <c r="O405" s="1442"/>
      <c r="P405" s="1442"/>
      <c r="Q405" s="1442"/>
      <c r="R405" s="1442"/>
      <c r="S405" s="1442"/>
      <c r="T405" s="1442"/>
      <c r="U405" s="1442"/>
      <c r="V405" s="1442"/>
      <c r="W405" s="1442"/>
      <c r="X405" s="1442"/>
      <c r="Y405" s="1442"/>
      <c r="Z405" s="1442"/>
      <c r="AA405" s="1442"/>
      <c r="AB405" s="1442"/>
      <c r="AC405" s="1442"/>
      <c r="AD405" s="1442"/>
      <c r="AE405" s="1442"/>
      <c r="AF405" s="1442"/>
      <c r="AG405" s="1442"/>
      <c r="AH405" s="1442"/>
      <c r="AI405" s="1442"/>
      <c r="AJ405" s="1442"/>
    </row>
    <row r="406" spans="1:36" ht="12.95" customHeight="1">
      <c r="C406"/>
      <c r="D406" s="41" t="s">
        <v>1964</v>
      </c>
      <c r="E406" s="810"/>
      <c r="F406" s="810"/>
      <c r="G406" s="810"/>
      <c r="H406" s="810"/>
      <c r="I406" s="810"/>
      <c r="J406" s="810"/>
      <c r="K406" s="810"/>
      <c r="L406" s="810"/>
      <c r="M406" s="810"/>
      <c r="N406" s="810"/>
      <c r="O406" s="810"/>
      <c r="P406" s="810"/>
      <c r="Q406" s="810"/>
      <c r="R406" s="810"/>
      <c r="S406" s="1592" t="s">
        <v>1965</v>
      </c>
      <c r="T406" s="1592"/>
      <c r="U406" s="1592"/>
      <c r="V406" s="1592"/>
      <c r="W406" s="1592"/>
      <c r="X406" s="1592"/>
      <c r="Y406" s="1592"/>
      <c r="Z406" s="1592"/>
      <c r="AA406" s="1592"/>
      <c r="AB406" s="1592"/>
      <c r="AC406" s="1592"/>
      <c r="AD406" s="1592"/>
      <c r="AE406" s="1592"/>
      <c r="AF406" s="1592"/>
      <c r="AG406" s="1592"/>
      <c r="AH406" s="1592"/>
      <c r="AI406" s="1592"/>
      <c r="AJ406" s="1592"/>
    </row>
    <row r="407" spans="1:36" ht="12.95" customHeight="1">
      <c r="C407"/>
      <c r="D407" s="982" t="s">
        <v>1966</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42" t="s">
        <v>2408</v>
      </c>
      <c r="J411" s="1142"/>
      <c r="K411" s="1142"/>
      <c r="L411" s="1142"/>
      <c r="M411" s="1142"/>
      <c r="N411" s="1142"/>
      <c r="O411" s="1142"/>
      <c r="P411" s="1142"/>
      <c r="Q411" s="1142"/>
      <c r="R411" s="1142"/>
      <c r="S411" s="1142"/>
      <c r="T411" s="1142"/>
      <c r="U411" s="1142"/>
      <c r="V411" s="1142"/>
      <c r="W411" s="1142"/>
      <c r="X411" s="1142"/>
      <c r="Y411" s="1142"/>
      <c r="Z411" s="1142"/>
      <c r="AA411" s="1142"/>
      <c r="AB411" s="1142"/>
      <c r="AC411" s="1142"/>
      <c r="AD411" s="1142"/>
    </row>
    <row r="412" spans="1:36" ht="12.95" customHeight="1">
      <c r="C412"/>
      <c r="E412" t="s">
        <v>855</v>
      </c>
      <c r="R412" s="1084" t="s">
        <v>124</v>
      </c>
      <c r="S412" s="1084"/>
      <c r="T412" t="s">
        <v>291</v>
      </c>
      <c r="AD412" s="1140">
        <v>0</v>
      </c>
      <c r="AE412" s="1140"/>
    </row>
    <row r="413" spans="1:36" ht="12.95" customHeight="1">
      <c r="C413"/>
      <c r="E413" t="s">
        <v>856</v>
      </c>
      <c r="R413" s="1084" t="s">
        <v>108</v>
      </c>
      <c r="S413" s="1084"/>
      <c r="T413" t="s">
        <v>291</v>
      </c>
      <c r="AD413" s="1140">
        <v>2</v>
      </c>
      <c r="AE413" s="1140"/>
    </row>
    <row r="414" spans="1:36" ht="12.95" customHeight="1">
      <c r="C414"/>
      <c r="E414" t="s">
        <v>857</v>
      </c>
      <c r="S414" s="1084" t="s">
        <v>124</v>
      </c>
      <c r="T414" s="1084"/>
    </row>
    <row r="415" spans="1:36" ht="12.95" customHeight="1">
      <c r="C415"/>
      <c r="E415" t="s">
        <v>283</v>
      </c>
      <c r="H415" s="1138" t="s">
        <v>562</v>
      </c>
      <c r="I415" s="1138"/>
      <c r="J415" s="1138"/>
      <c r="K415" s="1138"/>
      <c r="L415" s="1138"/>
      <c r="M415" s="1138"/>
      <c r="N415" s="1138"/>
      <c r="O415" s="1138"/>
      <c r="P415" s="1138"/>
      <c r="Q415" s="1138"/>
      <c r="R415" s="1138"/>
      <c r="S415" s="1138"/>
      <c r="T415" s="1138"/>
      <c r="U415" s="1138"/>
      <c r="V415" s="1138"/>
      <c r="W415" s="1138"/>
      <c r="X415" s="1138"/>
      <c r="Y415" s="1138"/>
      <c r="Z415" s="1138"/>
      <c r="AA415" s="1138"/>
      <c r="AB415" s="1138"/>
      <c r="AC415" s="1138"/>
      <c r="AD415" s="1138"/>
      <c r="AE415" s="1138"/>
      <c r="AF415" s="1138"/>
      <c r="AG415" s="1138"/>
      <c r="AH415" s="1138"/>
      <c r="AI415" s="1138"/>
      <c r="AJ415" s="1138"/>
    </row>
    <row r="416" spans="1:36" ht="12.95" customHeight="1">
      <c r="C416"/>
      <c r="H416" s="1139"/>
      <c r="I416" s="1139"/>
      <c r="J416" s="1139"/>
      <c r="K416" s="1139"/>
      <c r="L416" s="1139"/>
      <c r="M416" s="1139"/>
      <c r="N416" s="1139"/>
      <c r="O416" s="1139"/>
      <c r="P416" s="1139"/>
      <c r="Q416" s="1139"/>
      <c r="R416" s="1139"/>
      <c r="S416" s="1139"/>
      <c r="T416" s="1139"/>
      <c r="U416" s="1139"/>
      <c r="V416" s="1139"/>
      <c r="W416" s="1139"/>
      <c r="X416" s="1139"/>
      <c r="Y416" s="1139"/>
      <c r="Z416" s="1139"/>
      <c r="AA416" s="1139"/>
      <c r="AB416" s="1139"/>
      <c r="AC416" s="1139"/>
      <c r="AD416" s="1139"/>
      <c r="AE416" s="1139"/>
      <c r="AF416" s="1139"/>
      <c r="AG416" s="1139"/>
      <c r="AH416" s="1139"/>
      <c r="AI416" s="1139"/>
      <c r="AJ416" s="1139"/>
    </row>
    <row r="417" spans="1:36" ht="12.95" customHeight="1">
      <c r="C417"/>
    </row>
    <row r="418" spans="1:36" ht="12.95" customHeight="1">
      <c r="A418" s="3" t="s">
        <v>123</v>
      </c>
      <c r="B418" s="3"/>
      <c r="C418" s="3"/>
      <c r="D418" s="3" t="s">
        <v>902</v>
      </c>
      <c r="AE418" s="5"/>
      <c r="AF418" s="3" t="s">
        <v>1214</v>
      </c>
    </row>
    <row r="419" spans="1:36" ht="12.95" customHeight="1">
      <c r="C419"/>
      <c r="E419" s="1337"/>
      <c r="F419" s="1337"/>
      <c r="G419" s="1337"/>
      <c r="H419" s="18" t="s">
        <v>903</v>
      </c>
      <c r="I419" s="1337"/>
      <c r="J419" s="1337"/>
      <c r="K419" s="1337"/>
      <c r="L419" t="s">
        <v>904</v>
      </c>
      <c r="N419" s="34" t="s">
        <v>851</v>
      </c>
      <c r="P419" s="1357">
        <v>2.06</v>
      </c>
      <c r="Q419" s="1357"/>
      <c r="R419" s="1357"/>
      <c r="S419" t="s">
        <v>905</v>
      </c>
      <c r="W419" s="1358">
        <f>IF(E419&gt;0,(E419*I419),(P419*43560))</f>
        <v>89733.6</v>
      </c>
      <c r="X419" s="1358"/>
      <c r="Y419" s="1358"/>
      <c r="Z419" t="s">
        <v>906</v>
      </c>
      <c r="AF419" s="1338" cm="1">
        <f t="array" ref="AF419">_xlfn.IFS(P419&gt;0,(AG438/P419),W419&gt;0,(AG438/(W419/43560)),TRUE,0)</f>
        <v>22.33009708737864</v>
      </c>
      <c r="AG419" s="1338"/>
      <c r="AH419" s="1338"/>
    </row>
    <row r="420" spans="1:36" ht="12.95" customHeight="1">
      <c r="C420"/>
      <c r="E420" t="s">
        <v>203</v>
      </c>
    </row>
    <row r="421" spans="1:36" ht="12.95" customHeight="1">
      <c r="C421"/>
      <c r="E421" s="1388"/>
      <c r="F421" s="1388"/>
      <c r="G421" s="1388"/>
      <c r="H421" s="1388"/>
      <c r="I421" s="1388"/>
      <c r="J421" s="1388"/>
      <c r="K421" s="1388"/>
      <c r="L421" s="1388"/>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8"/>
      <c r="AJ421" s="1388"/>
    </row>
    <row r="422" spans="1:36" ht="12.95" customHeight="1">
      <c r="C422"/>
      <c r="E422" s="268" t="s">
        <v>1967</v>
      </c>
      <c r="F422" s="29"/>
      <c r="G422" s="29"/>
      <c r="H422" s="29"/>
      <c r="I422" s="1384">
        <v>2.06</v>
      </c>
      <c r="J422" s="1384"/>
      <c r="K422" s="1384"/>
      <c r="L422" s="29"/>
      <c r="M422" s="268"/>
      <c r="N422" s="29"/>
      <c r="O422" s="29"/>
      <c r="P422" s="1336">
        <f>(CQ636+CS641+CQ655)/I422</f>
        <v>23.300970873786408</v>
      </c>
      <c r="Q422" s="1336"/>
      <c r="R422" s="1336"/>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084">
        <v>3</v>
      </c>
      <c r="Q425" s="1084"/>
      <c r="S425" t="s">
        <v>134</v>
      </c>
      <c r="AE425" s="1084">
        <v>3</v>
      </c>
      <c r="AF425" s="1084"/>
    </row>
    <row r="426" spans="1:36" ht="12.95" customHeight="1">
      <c r="C426"/>
      <c r="E426" t="s">
        <v>135</v>
      </c>
      <c r="P426" s="1084">
        <v>0</v>
      </c>
      <c r="Q426" s="1084"/>
      <c r="S426" t="s">
        <v>726</v>
      </c>
      <c r="AE426" s="1084" t="s">
        <v>124</v>
      </c>
      <c r="AF426" s="1084"/>
    </row>
    <row r="427" spans="1:36" ht="12.95" customHeight="1">
      <c r="C427"/>
      <c r="F427" s="36" t="s">
        <v>221</v>
      </c>
    </row>
    <row r="428" spans="1:36" ht="12.95" customHeight="1">
      <c r="C428"/>
      <c r="F428" s="1382"/>
      <c r="G428" s="1382"/>
      <c r="H428" s="1382"/>
      <c r="I428" s="1382"/>
      <c r="J428" s="1382"/>
      <c r="K428" s="1382"/>
      <c r="L428" s="1382"/>
      <c r="M428" s="1382"/>
      <c r="N428" s="1382"/>
      <c r="O428" s="1382"/>
      <c r="P428" s="1382"/>
      <c r="Q428" s="1382"/>
      <c r="R428" s="1382"/>
      <c r="S428" s="1382"/>
      <c r="T428" s="1382"/>
      <c r="U428" s="1382"/>
      <c r="V428" s="1382"/>
      <c r="W428" s="1382"/>
      <c r="X428" s="1382"/>
      <c r="Y428" s="1382"/>
      <c r="Z428" s="1382"/>
      <c r="AA428" s="1382"/>
      <c r="AB428" s="1382"/>
      <c r="AC428" s="1382"/>
      <c r="AD428" s="1382"/>
      <c r="AE428" s="1382"/>
      <c r="AF428" s="1382"/>
      <c r="AG428" s="1382"/>
      <c r="AH428" s="1382"/>
    </row>
    <row r="429" spans="1:36" ht="12.95" customHeight="1">
      <c r="C429"/>
      <c r="F429" s="1383"/>
      <c r="G429" s="1383"/>
      <c r="H429" s="1383"/>
      <c r="I429" s="1383"/>
      <c r="J429" s="1383"/>
      <c r="K429" s="1383"/>
      <c r="L429" s="1383"/>
      <c r="M429" s="1383"/>
      <c r="N429" s="1383"/>
      <c r="O429" s="1383"/>
      <c r="P429" s="1383"/>
      <c r="Q429" s="1383"/>
      <c r="R429" s="1383"/>
      <c r="S429" s="1383"/>
      <c r="T429" s="1383"/>
      <c r="U429" s="1383"/>
      <c r="V429" s="1383"/>
      <c r="W429" s="1383"/>
      <c r="X429" s="1383"/>
      <c r="Y429" s="1383"/>
      <c r="Z429" s="1383"/>
      <c r="AA429" s="1383"/>
      <c r="AB429" s="1383"/>
      <c r="AC429" s="1383"/>
      <c r="AD429" s="1383"/>
      <c r="AE429" s="1383"/>
      <c r="AF429" s="1383"/>
      <c r="AG429" s="1383"/>
      <c r="AH429" s="1383"/>
    </row>
    <row r="430" spans="1:36" ht="12.95" customHeight="1">
      <c r="C430"/>
      <c r="E430" t="s">
        <v>858</v>
      </c>
      <c r="P430" s="1"/>
      <c r="Q430" s="1084" t="s">
        <v>108</v>
      </c>
      <c r="R430" s="1084"/>
      <c r="AE430" s="1"/>
      <c r="AF430" s="1"/>
    </row>
    <row r="431" spans="1:36" ht="12.95" customHeight="1">
      <c r="C431"/>
      <c r="F431" t="s">
        <v>859</v>
      </c>
      <c r="P431" s="1"/>
      <c r="Q431" s="1"/>
      <c r="AE431" s="1084" t="s">
        <v>124</v>
      </c>
      <c r="AF431" s="1436"/>
    </row>
    <row r="432" spans="1:36" ht="12.95" customHeight="1">
      <c r="C432"/>
    </row>
    <row r="433" spans="1:36" ht="12.95" customHeight="1">
      <c r="A433" s="3"/>
      <c r="B433" s="3"/>
      <c r="C433" s="3"/>
      <c r="E433" s="5" t="s">
        <v>80</v>
      </c>
      <c r="Z433" s="1084" t="s">
        <v>482</v>
      </c>
      <c r="AA433" s="108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84" t="s">
        <v>124</v>
      </c>
      <c r="AA435" s="1084"/>
    </row>
    <row r="436" spans="1:36" ht="12.95" customHeight="1">
      <c r="C436"/>
    </row>
    <row r="437" spans="1:36" ht="12.95" customHeight="1">
      <c r="A437" s="3" t="s">
        <v>367</v>
      </c>
      <c r="B437" s="3"/>
      <c r="C437" s="3"/>
      <c r="D437" s="3" t="s">
        <v>172</v>
      </c>
      <c r="AF437" s="54"/>
    </row>
    <row r="438" spans="1:36" ht="12.95" customHeight="1">
      <c r="C438"/>
      <c r="D438" s="1387" t="s">
        <v>356</v>
      </c>
      <c r="E438" s="1355"/>
      <c r="F438" s="1355"/>
      <c r="G438" s="1355"/>
      <c r="H438" s="1355"/>
      <c r="I438" s="1355"/>
      <c r="J438" s="1355"/>
      <c r="K438" s="1355"/>
      <c r="L438" s="1355"/>
      <c r="M438" s="1355"/>
      <c r="N438" s="1355"/>
      <c r="O438" s="1355"/>
      <c r="P438" s="1355"/>
      <c r="Q438" s="1355"/>
      <c r="R438" s="1355"/>
      <c r="S438" s="1355"/>
      <c r="T438" s="1355"/>
      <c r="U438" s="1355"/>
      <c r="V438" s="1355"/>
      <c r="W438" s="1355"/>
      <c r="X438" s="1355"/>
      <c r="Y438" s="1355"/>
      <c r="Z438" s="1355"/>
      <c r="AA438" s="1355"/>
      <c r="AB438" s="1355"/>
      <c r="AC438" s="1355"/>
      <c r="AD438" s="1355"/>
      <c r="AE438" s="1355"/>
      <c r="AF438" s="1356"/>
      <c r="AG438" s="1131">
        <v>46</v>
      </c>
      <c r="AH438" s="1131"/>
      <c r="AI438" s="1131"/>
      <c r="AJ438" s="1131"/>
    </row>
    <row r="439" spans="1:36" ht="12.95" customHeight="1">
      <c r="C439"/>
      <c r="D439" s="1335" t="s">
        <v>2256</v>
      </c>
      <c r="E439" s="1133"/>
      <c r="F439" s="1133"/>
      <c r="G439" s="1133"/>
      <c r="H439" s="1133"/>
      <c r="I439" s="1133"/>
      <c r="J439" s="1133"/>
      <c r="K439" s="1133"/>
      <c r="L439" s="1133"/>
      <c r="M439" s="1133"/>
      <c r="N439" s="1133"/>
      <c r="O439" s="1133"/>
      <c r="P439" s="1133"/>
      <c r="Q439" s="1133"/>
      <c r="R439" s="1133"/>
      <c r="S439" s="1133"/>
      <c r="T439" s="1133"/>
      <c r="U439" s="1133"/>
      <c r="V439" s="1133"/>
      <c r="W439" s="1133"/>
      <c r="X439" s="1133"/>
      <c r="Y439" s="1133"/>
      <c r="Z439" s="1133"/>
      <c r="AA439" s="1133"/>
      <c r="AB439" s="1133"/>
      <c r="AC439" s="1133"/>
      <c r="AD439" s="1133"/>
      <c r="AE439" s="1133"/>
      <c r="AF439" s="1134"/>
      <c r="AG439" s="1318">
        <v>0</v>
      </c>
      <c r="AH439" s="1319"/>
      <c r="AI439" s="1319"/>
      <c r="AJ439" s="1319"/>
    </row>
    <row r="440" spans="1:36" ht="12.95" customHeight="1">
      <c r="C440"/>
      <c r="D440" s="1132" t="s">
        <v>1368</v>
      </c>
      <c r="E440" s="1133"/>
      <c r="F440" s="1133"/>
      <c r="G440" s="1133"/>
      <c r="H440" s="1133"/>
      <c r="I440" s="1133"/>
      <c r="J440" s="1133"/>
      <c r="K440" s="1133"/>
      <c r="L440" s="1133"/>
      <c r="M440" s="1133"/>
      <c r="N440" s="1133"/>
      <c r="O440" s="1133"/>
      <c r="P440" s="1133"/>
      <c r="Q440" s="1133"/>
      <c r="R440" s="1133"/>
      <c r="S440" s="1133"/>
      <c r="T440" s="1133"/>
      <c r="U440" s="1133"/>
      <c r="V440" s="1133"/>
      <c r="W440" s="1133"/>
      <c r="X440" s="1133"/>
      <c r="Y440" s="1133"/>
      <c r="Z440" s="1133"/>
      <c r="AA440" s="1133"/>
      <c r="AB440" s="1133"/>
      <c r="AC440" s="1133"/>
      <c r="AD440" s="1133"/>
      <c r="AE440" s="1133"/>
      <c r="AF440" s="1134"/>
      <c r="AG440" s="1131">
        <v>45</v>
      </c>
      <c r="AH440" s="1131"/>
      <c r="AI440" s="1131"/>
      <c r="AJ440" s="1131"/>
    </row>
    <row r="441" spans="1:36" ht="12.95" customHeight="1">
      <c r="C441"/>
      <c r="D441" s="1132" t="s">
        <v>1365</v>
      </c>
      <c r="E441" s="1133"/>
      <c r="F441" s="1133"/>
      <c r="G441" s="1133"/>
      <c r="H441" s="1133"/>
      <c r="I441" s="1133"/>
      <c r="J441" s="1133"/>
      <c r="K441" s="1133"/>
      <c r="L441" s="1133"/>
      <c r="M441" s="1133"/>
      <c r="N441" s="1133"/>
      <c r="O441" s="1133"/>
      <c r="P441" s="1133"/>
      <c r="Q441" s="1133"/>
      <c r="R441" s="1133"/>
      <c r="S441" s="1133"/>
      <c r="T441" s="1133"/>
      <c r="U441" s="1133"/>
      <c r="V441" s="1133"/>
      <c r="W441" s="1133"/>
      <c r="X441" s="1133"/>
      <c r="Y441" s="1133"/>
      <c r="Z441" s="1133"/>
      <c r="AA441" s="1133"/>
      <c r="AB441" s="1133"/>
      <c r="AC441" s="1133"/>
      <c r="AD441" s="1133"/>
      <c r="AE441" s="1133"/>
      <c r="AF441" s="1134"/>
      <c r="AG441" s="1131">
        <v>45</v>
      </c>
      <c r="AH441" s="1131"/>
      <c r="AI441" s="1131"/>
      <c r="AJ441" s="1131"/>
    </row>
    <row r="442" spans="1:36" ht="12.95" customHeight="1">
      <c r="C442"/>
      <c r="D442" s="1132" t="s">
        <v>1369</v>
      </c>
      <c r="E442" s="1133"/>
      <c r="F442" s="1133"/>
      <c r="G442" s="1133"/>
      <c r="H442" s="1133"/>
      <c r="I442" s="1133"/>
      <c r="J442" s="1133"/>
      <c r="K442" s="1133"/>
      <c r="L442" s="1133"/>
      <c r="M442" s="1133"/>
      <c r="N442" s="1133"/>
      <c r="O442" s="1133"/>
      <c r="P442" s="1133"/>
      <c r="Q442" s="1133"/>
      <c r="R442" s="1133"/>
      <c r="S442" s="1133"/>
      <c r="T442" s="1133"/>
      <c r="U442" s="1133"/>
      <c r="V442" s="1133"/>
      <c r="W442" s="1133"/>
      <c r="X442" s="1133"/>
      <c r="Y442" s="1133"/>
      <c r="Z442" s="1133"/>
      <c r="AA442" s="1133"/>
      <c r="AB442" s="1133"/>
      <c r="AC442" s="1133"/>
      <c r="AD442" s="1133"/>
      <c r="AE442" s="1133"/>
      <c r="AF442" s="1134"/>
      <c r="AG442" s="1352">
        <f>IF(ISERROR(AG441/AG440),"",AG441/AG440)</f>
        <v>1</v>
      </c>
      <c r="AH442" s="1352"/>
      <c r="AI442" s="1352"/>
      <c r="AJ442" s="1352"/>
    </row>
    <row r="443" spans="1:36" ht="12.95" customHeight="1">
      <c r="C443"/>
      <c r="D443" s="1132" t="s">
        <v>1367</v>
      </c>
      <c r="E443" s="1133"/>
      <c r="F443" s="1133"/>
      <c r="G443" s="1133"/>
      <c r="H443" s="1133"/>
      <c r="I443" s="1133"/>
      <c r="J443" s="1133"/>
      <c r="K443" s="1133"/>
      <c r="L443" s="1133"/>
      <c r="M443" s="1133"/>
      <c r="N443" s="1133"/>
      <c r="O443" s="1133"/>
      <c r="P443" s="1133"/>
      <c r="Q443" s="1133"/>
      <c r="R443" s="1133"/>
      <c r="S443" s="1133"/>
      <c r="T443" s="1133"/>
      <c r="U443" s="1133"/>
      <c r="V443" s="1133"/>
      <c r="W443" s="1133"/>
      <c r="X443" s="1133"/>
      <c r="Y443" s="1133"/>
      <c r="Z443" s="1133"/>
      <c r="AA443" s="1133"/>
      <c r="AB443" s="1133"/>
      <c r="AC443" s="1133"/>
      <c r="AD443" s="1133"/>
      <c r="AE443" s="1133"/>
      <c r="AF443" s="1134"/>
      <c r="AG443" s="1141">
        <v>27116</v>
      </c>
      <c r="AH443" s="1141"/>
      <c r="AI443" s="1141"/>
      <c r="AJ443" s="1141"/>
    </row>
    <row r="444" spans="1:36" ht="12.95" customHeight="1">
      <c r="C444"/>
      <c r="D444" s="1132" t="s">
        <v>1366</v>
      </c>
      <c r="E444" s="1133"/>
      <c r="F444" s="1133"/>
      <c r="G444" s="1133"/>
      <c r="H444" s="1133"/>
      <c r="I444" s="1133"/>
      <c r="J444" s="1133"/>
      <c r="K444" s="1133"/>
      <c r="L444" s="1133"/>
      <c r="M444" s="1133"/>
      <c r="N444" s="1133"/>
      <c r="O444" s="1133"/>
      <c r="P444" s="1133"/>
      <c r="Q444" s="1133"/>
      <c r="R444" s="1133"/>
      <c r="S444" s="1133"/>
      <c r="T444" s="1133"/>
      <c r="U444" s="1133"/>
      <c r="V444" s="1133"/>
      <c r="W444" s="1133"/>
      <c r="X444" s="1133"/>
      <c r="Y444" s="1133"/>
      <c r="Z444" s="1133"/>
      <c r="AA444" s="1133"/>
      <c r="AB444" s="1133"/>
      <c r="AC444" s="1133"/>
      <c r="AD444" s="1133"/>
      <c r="AE444" s="1133"/>
      <c r="AF444" s="1134"/>
      <c r="AG444" s="1141">
        <v>27116</v>
      </c>
      <c r="AH444" s="1141"/>
      <c r="AI444" s="1141"/>
      <c r="AJ444" s="1141"/>
    </row>
    <row r="445" spans="1:36" ht="12.95" customHeight="1">
      <c r="C445"/>
      <c r="D445" s="1132" t="s">
        <v>1372</v>
      </c>
      <c r="E445" s="1133"/>
      <c r="F445" s="1133"/>
      <c r="G445" s="1133"/>
      <c r="H445" s="1133"/>
      <c r="I445" s="1133"/>
      <c r="J445" s="1133"/>
      <c r="K445" s="1133"/>
      <c r="L445" s="1133"/>
      <c r="M445" s="1133"/>
      <c r="N445" s="1133"/>
      <c r="O445" s="1133"/>
      <c r="P445" s="1133"/>
      <c r="Q445" s="1133"/>
      <c r="R445" s="1133"/>
      <c r="S445" s="1133"/>
      <c r="T445" s="1133"/>
      <c r="U445" s="1133"/>
      <c r="V445" s="1133"/>
      <c r="W445" s="1133"/>
      <c r="X445" s="1133"/>
      <c r="Y445" s="1133"/>
      <c r="Z445" s="1133"/>
      <c r="AA445" s="1133"/>
      <c r="AB445" s="1133"/>
      <c r="AC445" s="1133"/>
      <c r="AD445" s="1133"/>
      <c r="AE445" s="1133"/>
      <c r="AF445" s="1134"/>
      <c r="AG445" s="1352">
        <f>IF(ISERROR(AG444/AG443),"",AG444/AG443)</f>
        <v>1</v>
      </c>
      <c r="AH445" s="1352"/>
      <c r="AI445" s="1352"/>
      <c r="AJ445" s="1352"/>
    </row>
    <row r="446" spans="1:36" ht="12.95" customHeight="1">
      <c r="C446"/>
      <c r="D446" s="1132" t="s">
        <v>1370</v>
      </c>
      <c r="E446" s="1133"/>
      <c r="F446" s="1133"/>
      <c r="G446" s="1133"/>
      <c r="H446" s="1133"/>
      <c r="I446" s="1133"/>
      <c r="J446" s="1133"/>
      <c r="K446" s="1133"/>
      <c r="L446" s="1133"/>
      <c r="M446" s="1133"/>
      <c r="N446" s="1133"/>
      <c r="O446" s="1133"/>
      <c r="P446" s="1133"/>
      <c r="Q446" s="1133"/>
      <c r="R446" s="1133"/>
      <c r="S446" s="1133"/>
      <c r="T446" s="1133"/>
      <c r="U446" s="1133"/>
      <c r="V446" s="1133"/>
      <c r="W446" s="1133"/>
      <c r="X446" s="1133"/>
      <c r="Y446" s="1133"/>
      <c r="Z446" s="1133"/>
      <c r="AA446" s="1133"/>
      <c r="AB446" s="1133"/>
      <c r="AC446" s="1133"/>
      <c r="AD446" s="1133"/>
      <c r="AE446" s="1133"/>
      <c r="AF446" s="1134"/>
      <c r="AG446" s="1352">
        <f>MIN(IF(AG442&gt;AG445,AG445,AG442),1)</f>
        <v>1</v>
      </c>
      <c r="AH446" s="1352"/>
      <c r="AI446" s="1352"/>
      <c r="AJ446" s="1352"/>
    </row>
    <row r="447" spans="1:36" ht="12.95" customHeight="1">
      <c r="C447"/>
      <c r="D447" s="1335" t="s">
        <v>2097</v>
      </c>
      <c r="E447" s="1355"/>
      <c r="F447" s="1355"/>
      <c r="G447" s="1355"/>
      <c r="H447" s="1355"/>
      <c r="I447" s="1355"/>
      <c r="J447" s="1355"/>
      <c r="K447" s="1355"/>
      <c r="L447" s="1355"/>
      <c r="M447" s="1355"/>
      <c r="N447" s="1355"/>
      <c r="O447" s="1355"/>
      <c r="P447" s="1355"/>
      <c r="Q447" s="1355"/>
      <c r="R447" s="1355"/>
      <c r="S447" s="1355"/>
      <c r="T447" s="1355"/>
      <c r="U447" s="1355"/>
      <c r="V447" s="1355"/>
      <c r="W447" s="1355"/>
      <c r="X447" s="1355"/>
      <c r="Y447" s="1355"/>
      <c r="Z447" s="1355"/>
      <c r="AA447" s="1355"/>
      <c r="AB447" s="1355"/>
      <c r="AC447" s="1355"/>
      <c r="AD447" s="1355"/>
      <c r="AE447" s="1355"/>
      <c r="AF447" s="1356"/>
      <c r="AG447" s="1141">
        <v>2658</v>
      </c>
      <c r="AH447" s="1141"/>
      <c r="AI447" s="1141"/>
      <c r="AJ447" s="1141"/>
    </row>
    <row r="448" spans="1:36" ht="12.95" customHeight="1">
      <c r="C448"/>
      <c r="D448" s="1132" t="s">
        <v>208</v>
      </c>
      <c r="E448" s="1133"/>
      <c r="F448" s="1133"/>
      <c r="G448" s="1133"/>
      <c r="H448" s="1133"/>
      <c r="I448" s="1133"/>
      <c r="J448" s="1133"/>
      <c r="K448" s="1133"/>
      <c r="L448" s="1133"/>
      <c r="M448" s="1133"/>
      <c r="N448" s="1133"/>
      <c r="O448" s="1133"/>
      <c r="P448" s="1133"/>
      <c r="Q448" s="1133"/>
      <c r="R448" s="1133"/>
      <c r="S448" s="1133"/>
      <c r="T448" s="1133"/>
      <c r="U448" s="1133"/>
      <c r="V448" s="1133"/>
      <c r="W448" s="1133"/>
      <c r="X448" s="1133"/>
      <c r="Y448" s="1133"/>
      <c r="Z448" s="1133"/>
      <c r="AA448" s="1133"/>
      <c r="AB448" s="1133"/>
      <c r="AC448" s="1133"/>
      <c r="AD448" s="1133"/>
      <c r="AE448" s="1133"/>
      <c r="AF448" s="1134"/>
      <c r="AG448" s="1141">
        <v>0</v>
      </c>
      <c r="AH448" s="1141"/>
      <c r="AI448" s="1141"/>
      <c r="AJ448" s="1141"/>
    </row>
    <row r="449" spans="1:36" ht="12.95" customHeight="1">
      <c r="C449"/>
      <c r="D449" s="1335" t="s">
        <v>1728</v>
      </c>
      <c r="E449" s="1133"/>
      <c r="F449" s="1133"/>
      <c r="G449" s="1133"/>
      <c r="H449" s="1133"/>
      <c r="I449" s="1133"/>
      <c r="J449" s="1133"/>
      <c r="K449" s="1133"/>
      <c r="L449" s="1133"/>
      <c r="M449" s="1133"/>
      <c r="N449" s="1133"/>
      <c r="O449" s="1133"/>
      <c r="P449" s="1133"/>
      <c r="Q449" s="1133"/>
      <c r="R449" s="1133"/>
      <c r="S449" s="1133"/>
      <c r="T449" s="1133"/>
      <c r="U449" s="1133"/>
      <c r="V449" s="1133"/>
      <c r="W449" s="1133"/>
      <c r="X449" s="1133"/>
      <c r="Y449" s="1133"/>
      <c r="Z449" s="1133"/>
      <c r="AA449" s="1133"/>
      <c r="AB449" s="1133"/>
      <c r="AC449" s="1133"/>
      <c r="AD449" s="1133"/>
      <c r="AE449" s="1133"/>
      <c r="AF449" s="1134"/>
      <c r="AG449" s="1141">
        <v>1386</v>
      </c>
      <c r="AH449" s="1141"/>
      <c r="AI449" s="1141"/>
      <c r="AJ449" s="1141"/>
    </row>
    <row r="450" spans="1:36" ht="12.95" customHeight="1">
      <c r="C450"/>
      <c r="D450" s="1132" t="s">
        <v>1371</v>
      </c>
      <c r="E450" s="1133"/>
      <c r="F450" s="1133"/>
      <c r="G450" s="1133"/>
      <c r="H450" s="1133"/>
      <c r="I450" s="1133"/>
      <c r="J450" s="1133"/>
      <c r="K450" s="1133"/>
      <c r="L450" s="1133"/>
      <c r="M450" s="1133"/>
      <c r="N450" s="1133"/>
      <c r="O450" s="1133"/>
      <c r="P450" s="1133"/>
      <c r="Q450" s="1133"/>
      <c r="R450" s="1133"/>
      <c r="S450" s="1133"/>
      <c r="T450" s="1133"/>
      <c r="U450" s="1133"/>
      <c r="V450" s="1133"/>
      <c r="W450" s="1133"/>
      <c r="X450" s="1133"/>
      <c r="Y450" s="1133"/>
      <c r="Z450" s="1133"/>
      <c r="AA450" s="1133"/>
      <c r="AB450" s="1133"/>
      <c r="AC450" s="1133"/>
      <c r="AD450" s="1133"/>
      <c r="AE450" s="1133"/>
      <c r="AF450" s="1134"/>
      <c r="AG450" s="1141">
        <v>0</v>
      </c>
      <c r="AH450" s="1141"/>
      <c r="AI450" s="1141"/>
      <c r="AJ450" s="1141"/>
    </row>
    <row r="451" spans="1:36" ht="12.95" customHeight="1">
      <c r="C451"/>
      <c r="D451" s="1132" t="s">
        <v>1373</v>
      </c>
      <c r="E451" s="1133"/>
      <c r="F451" s="1133"/>
      <c r="G451" s="1133"/>
      <c r="H451" s="1133"/>
      <c r="I451" s="1133"/>
      <c r="J451" s="1133"/>
      <c r="K451" s="1133"/>
      <c r="L451" s="1133"/>
      <c r="M451" s="1133"/>
      <c r="N451" s="1133"/>
      <c r="O451" s="1133"/>
      <c r="P451" s="1133"/>
      <c r="Q451" s="1133"/>
      <c r="R451" s="1133"/>
      <c r="S451" s="1133"/>
      <c r="T451" s="1133"/>
      <c r="U451" s="1133"/>
      <c r="V451" s="1133"/>
      <c r="W451" s="1133"/>
      <c r="X451" s="1133"/>
      <c r="Y451" s="1133"/>
      <c r="Z451" s="1133"/>
      <c r="AA451" s="1133"/>
      <c r="AB451" s="1133"/>
      <c r="AC451" s="1133"/>
      <c r="AD451" s="1133"/>
      <c r="AE451" s="1133"/>
      <c r="AF451" s="1134"/>
      <c r="AG451" s="1381">
        <f>AG443+AG447+AG449+AG450</f>
        <v>31160</v>
      </c>
      <c r="AH451" s="1381"/>
      <c r="AI451" s="1381"/>
      <c r="AJ451" s="1381"/>
    </row>
    <row r="452" spans="1:36" ht="12.95" customHeight="1">
      <c r="C452"/>
      <c r="D452" s="1385" t="s">
        <v>1729</v>
      </c>
      <c r="E452" s="1385"/>
      <c r="F452" s="1385"/>
      <c r="G452" s="1385"/>
      <c r="H452" s="1385"/>
      <c r="I452" s="1385"/>
      <c r="J452" s="1385"/>
      <c r="K452" s="1385"/>
      <c r="L452" s="1385"/>
      <c r="M452" s="1385"/>
      <c r="N452" s="1385"/>
      <c r="O452" s="1385"/>
      <c r="P452" s="1385"/>
      <c r="Q452" s="1385"/>
      <c r="R452" s="1385"/>
      <c r="S452" s="1385"/>
      <c r="T452" s="1385"/>
      <c r="U452" s="1385"/>
      <c r="V452" s="1385"/>
      <c r="W452" s="1385"/>
      <c r="X452" s="1385"/>
      <c r="Y452" s="1385"/>
      <c r="Z452" s="1385"/>
      <c r="AA452" s="1385"/>
      <c r="AB452" s="1385"/>
      <c r="AC452" s="1385"/>
      <c r="AD452" s="1385"/>
      <c r="AE452" s="1385"/>
      <c r="AF452" s="1385"/>
      <c r="AG452" s="1385"/>
      <c r="AH452" s="1385"/>
      <c r="AI452" s="1385"/>
      <c r="AJ452" s="1385"/>
    </row>
    <row r="453" spans="1:36" ht="12.95" customHeight="1">
      <c r="C453"/>
      <c r="D453" s="1386"/>
      <c r="E453" s="1386"/>
      <c r="F453" s="1386"/>
      <c r="G453" s="1386"/>
      <c r="H453" s="1386"/>
      <c r="I453" s="1386"/>
      <c r="J453" s="1386"/>
      <c r="K453" s="1386"/>
      <c r="L453" s="1386"/>
      <c r="M453" s="1386"/>
      <c r="N453" s="1386"/>
      <c r="O453" s="1386"/>
      <c r="P453" s="1386"/>
      <c r="Q453" s="1386"/>
      <c r="R453" s="1386"/>
      <c r="S453" s="1386"/>
      <c r="T453" s="1386"/>
      <c r="U453" s="1386"/>
      <c r="V453" s="1386"/>
      <c r="W453" s="1386"/>
      <c r="X453" s="1386"/>
      <c r="Y453" s="1386"/>
      <c r="Z453" s="1386"/>
      <c r="AA453" s="1386"/>
      <c r="AB453" s="1386"/>
      <c r="AC453" s="1386"/>
      <c r="AD453" s="1386"/>
      <c r="AE453" s="1386"/>
      <c r="AF453" s="1386"/>
      <c r="AG453" s="1386"/>
      <c r="AH453" s="1386"/>
      <c r="AI453" s="1386"/>
      <c r="AJ453" s="1386"/>
    </row>
    <row r="454" spans="1:36" ht="12.95" customHeight="1">
      <c r="C454"/>
      <c r="D454" s="1362"/>
      <c r="E454" s="1362"/>
      <c r="F454" s="1362"/>
      <c r="G454" s="1362"/>
      <c r="H454" s="1362"/>
      <c r="I454" s="1362"/>
      <c r="J454" s="1362"/>
      <c r="K454" s="1362"/>
      <c r="L454" s="1362"/>
      <c r="M454" s="1362"/>
      <c r="N454" s="1362"/>
      <c r="O454" s="1362"/>
      <c r="P454" s="1362"/>
      <c r="Q454" s="1362"/>
      <c r="R454" s="1362"/>
      <c r="S454" s="1362"/>
      <c r="T454" s="1362"/>
      <c r="U454" s="1362"/>
      <c r="V454" s="1362"/>
      <c r="W454" s="1362"/>
      <c r="X454" s="1362"/>
      <c r="Y454" s="1362"/>
      <c r="Z454" s="1362"/>
      <c r="AA454" s="1362"/>
      <c r="AB454" s="1362"/>
      <c r="AC454" s="1362"/>
      <c r="AD454" s="1362"/>
      <c r="AE454" s="1362"/>
      <c r="AF454" s="1362"/>
      <c r="AG454" s="1362"/>
      <c r="AH454" s="1362"/>
      <c r="AI454" s="1362"/>
      <c r="AJ454" s="1362"/>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54">
        <f>IF(AG438=0,"",'Sources and Uses Budget'!B104/Application!AG438)</f>
        <v>609038.47826086951</v>
      </c>
      <c r="AD455" s="1354"/>
      <c r="AE455" s="1354"/>
      <c r="AF455" s="1354"/>
      <c r="AG455" s="1378"/>
      <c r="AH455" s="1378"/>
      <c r="AI455" s="1378"/>
      <c r="AJ455" s="1378"/>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54">
        <f>IF(AG438=0,"",'Sources and Uses Budget'!C104/Application!AG438)</f>
        <v>609038.47826086951</v>
      </c>
      <c r="AD456" s="1354"/>
      <c r="AE456" s="1354"/>
      <c r="AF456" s="1354"/>
      <c r="AG456" s="1378"/>
      <c r="AH456" s="1378"/>
      <c r="AI456" s="1378"/>
      <c r="AJ456" s="1378"/>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54">
        <f>IF(AG438=0,"",('Sources and Uses Budget'!S106+'Sources and Uses Budget'!T106)/Application!AG438)</f>
        <v>485894.10869565216</v>
      </c>
      <c r="AD457" s="1354"/>
      <c r="AE457" s="1354"/>
      <c r="AF457" s="1354"/>
      <c r="AG457" s="359"/>
      <c r="AH457" s="359"/>
      <c r="AI457" s="359"/>
      <c r="AJ457" s="359"/>
    </row>
    <row r="458" spans="1:36" ht="12.95" customHeight="1">
      <c r="C458"/>
      <c r="D458" s="370"/>
      <c r="E458" s="305"/>
      <c r="F458" s="1130" t="str">
        <f>IF(AG438=0,"",IF(AC455&gt;650000,"Please provide a justification of cost per unit in Tab 12 for all projects with per unit costs of greater than $650,000.",""))</f>
        <v/>
      </c>
      <c r="G458" s="1130"/>
      <c r="H458" s="1130"/>
      <c r="I458" s="1130"/>
      <c r="J458" s="1130"/>
      <c r="K458" s="1130"/>
      <c r="L458" s="1130"/>
      <c r="M458" s="1130"/>
      <c r="N458" s="1130"/>
      <c r="O458" s="1130"/>
      <c r="P458" s="1130"/>
      <c r="Q458" s="1130"/>
      <c r="R458" s="1130"/>
      <c r="S458" s="1130"/>
      <c r="T458" s="1130"/>
      <c r="U458" s="1130"/>
      <c r="V458" s="1130"/>
      <c r="W458" s="1130"/>
      <c r="X458" s="1130"/>
      <c r="Y458" s="1130"/>
      <c r="Z458" s="1130"/>
      <c r="AA458" s="1130"/>
      <c r="AB458" s="1130"/>
      <c r="AC458" s="291"/>
      <c r="AD458" s="291"/>
      <c r="AE458" s="291"/>
      <c r="AF458" s="291"/>
      <c r="AG458" s="359"/>
      <c r="AH458" s="359"/>
      <c r="AI458" s="359"/>
      <c r="AJ458" s="359"/>
    </row>
    <row r="459" spans="1:36" ht="12.95" customHeight="1">
      <c r="C459"/>
      <c r="D459" s="370"/>
      <c r="E459" s="305"/>
      <c r="F459" s="1130"/>
      <c r="G459" s="1130"/>
      <c r="H459" s="1130"/>
      <c r="I459" s="1130"/>
      <c r="J459" s="1130"/>
      <c r="K459" s="1130"/>
      <c r="L459" s="1130"/>
      <c r="M459" s="1130"/>
      <c r="N459" s="1130"/>
      <c r="O459" s="1130"/>
      <c r="P459" s="1130"/>
      <c r="Q459" s="1130"/>
      <c r="R459" s="1130"/>
      <c r="S459" s="1130"/>
      <c r="T459" s="1130"/>
      <c r="U459" s="1130"/>
      <c r="V459" s="1130"/>
      <c r="W459" s="1130"/>
      <c r="X459" s="1130"/>
      <c r="Y459" s="1130"/>
      <c r="Z459" s="1130"/>
      <c r="AA459" s="1130"/>
      <c r="AB459" s="113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35" t="s">
        <v>2090</v>
      </c>
      <c r="E468" s="1136"/>
      <c r="F468" s="1136"/>
      <c r="G468" s="1136"/>
      <c r="H468" s="1136"/>
      <c r="I468" s="1136"/>
      <c r="J468" s="1136"/>
      <c r="K468" s="1136"/>
      <c r="L468" s="1136"/>
      <c r="M468" s="1136"/>
      <c r="N468" s="1136"/>
      <c r="O468" s="1136"/>
      <c r="P468" s="1136"/>
      <c r="Q468" s="1136"/>
      <c r="R468" s="1136"/>
      <c r="S468" s="1136"/>
      <c r="T468" s="1136"/>
      <c r="U468" s="1136"/>
      <c r="V468" s="1137"/>
      <c r="W468" s="1143">
        <v>13</v>
      </c>
      <c r="X468" s="1144"/>
      <c r="Y468" s="1145"/>
      <c r="Z468" s="308"/>
      <c r="AA468" s="308"/>
      <c r="AB468" s="308"/>
      <c r="AC468" s="308"/>
      <c r="AD468" s="308"/>
      <c r="AE468" s="308"/>
      <c r="AF468" s="308"/>
      <c r="AG468" s="308"/>
      <c r="AH468" s="308"/>
      <c r="AI468" s="308"/>
      <c r="AJ468" s="41"/>
      <c r="AK468" s="41"/>
      <c r="AL468" s="41"/>
    </row>
    <row r="469" spans="1:97" ht="12.95" customHeight="1">
      <c r="A469" s="41"/>
      <c r="B469" s="41"/>
      <c r="C469" s="41"/>
      <c r="D469" s="1135" t="s">
        <v>213</v>
      </c>
      <c r="E469" s="1136"/>
      <c r="F469" s="1136"/>
      <c r="G469" s="1136"/>
      <c r="H469" s="1136"/>
      <c r="I469" s="1136"/>
      <c r="J469" s="1136"/>
      <c r="K469" s="1136"/>
      <c r="L469" s="1136"/>
      <c r="M469" s="1136"/>
      <c r="N469" s="1136"/>
      <c r="O469" s="1136"/>
      <c r="P469" s="1136"/>
      <c r="Q469" s="1136"/>
      <c r="R469" s="1136"/>
      <c r="S469" s="1136"/>
      <c r="T469" s="1136"/>
      <c r="U469" s="1136"/>
      <c r="V469" s="1137"/>
      <c r="W469" s="1143">
        <v>0</v>
      </c>
      <c r="X469" s="1144"/>
      <c r="Y469" s="1145"/>
      <c r="Z469" s="308"/>
      <c r="AA469" s="308"/>
      <c r="AB469" s="308"/>
      <c r="AC469" s="308"/>
      <c r="AD469" s="308"/>
      <c r="AE469" s="308"/>
      <c r="AF469" s="308"/>
      <c r="AG469" s="308"/>
      <c r="AH469" s="308"/>
      <c r="AI469" s="308"/>
      <c r="AJ469" s="41"/>
      <c r="AK469" s="41"/>
      <c r="AL469" s="41"/>
    </row>
    <row r="470" spans="1:97" ht="12.95" customHeight="1">
      <c r="A470" s="41"/>
      <c r="B470" s="41"/>
      <c r="C470" s="41"/>
      <c r="D470" s="1135" t="s">
        <v>214</v>
      </c>
      <c r="E470" s="1136"/>
      <c r="F470" s="1136"/>
      <c r="G470" s="1136"/>
      <c r="H470" s="1136"/>
      <c r="I470" s="1136"/>
      <c r="J470" s="1136"/>
      <c r="K470" s="1136"/>
      <c r="L470" s="1136"/>
      <c r="M470" s="1136"/>
      <c r="N470" s="1136"/>
      <c r="O470" s="1136"/>
      <c r="P470" s="1136"/>
      <c r="Q470" s="1136"/>
      <c r="R470" s="1136"/>
      <c r="S470" s="1136"/>
      <c r="T470" s="1136"/>
      <c r="U470" s="1136"/>
      <c r="V470" s="1137"/>
      <c r="W470" s="1143">
        <v>0</v>
      </c>
      <c r="X470" s="1144"/>
      <c r="Y470" s="1145"/>
      <c r="Z470" s="308"/>
      <c r="AA470" s="308"/>
      <c r="AB470" s="308"/>
      <c r="AC470" s="308"/>
      <c r="AD470" s="308"/>
      <c r="AE470" s="308"/>
      <c r="AF470" s="308"/>
      <c r="AG470" s="308"/>
      <c r="AH470" s="308"/>
      <c r="AI470" s="308"/>
      <c r="AJ470" s="41"/>
      <c r="AK470" s="41"/>
      <c r="AL470" s="41"/>
    </row>
    <row r="471" spans="1:97" ht="12.95" customHeight="1">
      <c r="A471" s="41"/>
      <c r="B471" s="41"/>
      <c r="C471" s="41"/>
      <c r="D471" s="1135" t="s">
        <v>216</v>
      </c>
      <c r="E471" s="1136"/>
      <c r="F471" s="1136"/>
      <c r="G471" s="1136"/>
      <c r="H471" s="1136"/>
      <c r="I471" s="1136"/>
      <c r="J471" s="1136"/>
      <c r="K471" s="1136"/>
      <c r="L471" s="1136"/>
      <c r="M471" s="1136"/>
      <c r="N471" s="1136"/>
      <c r="O471" s="1136"/>
      <c r="P471" s="1136"/>
      <c r="Q471" s="1136"/>
      <c r="R471" s="1136"/>
      <c r="S471" s="1136"/>
      <c r="T471" s="1136"/>
      <c r="U471" s="1136"/>
      <c r="V471" s="1137"/>
      <c r="W471" s="1143">
        <v>0</v>
      </c>
      <c r="X471" s="1144"/>
      <c r="Y471" s="1145"/>
      <c r="Z471" s="308"/>
      <c r="AA471" s="308"/>
      <c r="AB471" s="308"/>
      <c r="AC471" s="308"/>
      <c r="AD471" s="308"/>
      <c r="AE471" s="308"/>
      <c r="AF471" s="308"/>
      <c r="AG471" s="308"/>
      <c r="AH471" s="308"/>
      <c r="AI471" s="308"/>
      <c r="AJ471" s="41"/>
      <c r="AK471" s="41"/>
      <c r="AL471" s="41"/>
    </row>
    <row r="472" spans="1:97" ht="12.95" customHeight="1">
      <c r="A472" s="41"/>
      <c r="B472" s="41"/>
      <c r="C472" s="41"/>
      <c r="D472" s="1353" t="s">
        <v>1109</v>
      </c>
      <c r="E472" s="1136"/>
      <c r="F472" s="1136"/>
      <c r="G472" s="1136"/>
      <c r="H472" s="1136"/>
      <c r="I472" s="1136"/>
      <c r="J472" s="1136"/>
      <c r="K472" s="1136"/>
      <c r="L472" s="1136"/>
      <c r="M472" s="1136"/>
      <c r="N472" s="1136"/>
      <c r="O472" s="1136"/>
      <c r="P472" s="1136"/>
      <c r="Q472" s="1136"/>
      <c r="R472" s="1136"/>
      <c r="S472" s="1136"/>
      <c r="T472" s="1136"/>
      <c r="U472" s="1136"/>
      <c r="V472" s="1137"/>
      <c r="W472" s="1143">
        <v>0</v>
      </c>
      <c r="X472" s="1144"/>
      <c r="Y472" s="1145"/>
      <c r="Z472" s="308"/>
      <c r="AA472" s="308"/>
      <c r="AB472" s="308"/>
      <c r="AC472" s="308"/>
      <c r="AD472" s="308"/>
      <c r="AE472" s="308"/>
      <c r="AF472" s="308"/>
      <c r="AG472" s="308"/>
      <c r="AH472" s="308"/>
      <c r="AI472" s="308"/>
      <c r="AJ472" s="41"/>
      <c r="AK472" s="41"/>
      <c r="AL472" s="41"/>
    </row>
    <row r="473" spans="1:97" ht="12.95" customHeight="1">
      <c r="A473" s="41"/>
      <c r="B473" s="41"/>
      <c r="C473" s="41"/>
      <c r="D473" s="1135" t="s">
        <v>220</v>
      </c>
      <c r="E473" s="1136"/>
      <c r="F473" s="1136"/>
      <c r="G473" s="1136"/>
      <c r="H473" s="1136"/>
      <c r="I473" s="1136"/>
      <c r="J473" s="1136"/>
      <c r="K473" s="1136"/>
      <c r="L473" s="1136"/>
      <c r="M473" s="1136"/>
      <c r="N473" s="1136"/>
      <c r="O473" s="1136"/>
      <c r="P473" s="1136"/>
      <c r="Q473" s="1136"/>
      <c r="R473" s="1136"/>
      <c r="S473" s="1136"/>
      <c r="T473" s="1136"/>
      <c r="U473" s="1136"/>
      <c r="V473" s="1137"/>
      <c r="W473" s="1143">
        <v>0</v>
      </c>
      <c r="X473" s="1144"/>
      <c r="Y473" s="1145"/>
      <c r="Z473" s="308"/>
      <c r="AA473" s="308"/>
      <c r="AB473" s="308"/>
      <c r="AC473" s="308"/>
      <c r="AD473" s="308"/>
      <c r="AE473" s="308"/>
      <c r="AF473" s="308"/>
      <c r="AG473" s="308"/>
      <c r="AH473" s="308"/>
      <c r="AI473" s="308"/>
      <c r="AJ473" s="41"/>
      <c r="AK473" s="41"/>
      <c r="AL473" s="41"/>
    </row>
    <row r="474" spans="1:97" ht="12.95" customHeight="1">
      <c r="A474" s="554"/>
      <c r="B474" s="554"/>
      <c r="C474" s="554"/>
      <c r="D474" s="1353" t="s">
        <v>1308</v>
      </c>
      <c r="E474" s="1328"/>
      <c r="F474" s="1328"/>
      <c r="G474" s="1328"/>
      <c r="H474" s="1328"/>
      <c r="I474" s="1328"/>
      <c r="J474" s="1328"/>
      <c r="K474" s="1328"/>
      <c r="L474" s="1328"/>
      <c r="M474" s="1328"/>
      <c r="N474" s="1328"/>
      <c r="O474" s="1328"/>
      <c r="P474" s="1328"/>
      <c r="Q474" s="1328"/>
      <c r="R474" s="1328"/>
      <c r="S474" s="1328"/>
      <c r="T474" s="1328"/>
      <c r="U474" s="1328"/>
      <c r="V474" s="1329"/>
      <c r="W474" s="1330">
        <v>0</v>
      </c>
      <c r="X474" s="1331"/>
      <c r="Y474" s="1332"/>
      <c r="Z474" s="555"/>
      <c r="AA474" s="555"/>
      <c r="AB474" s="555"/>
      <c r="AC474" s="555"/>
      <c r="AD474" s="556"/>
      <c r="AE474" s="556"/>
      <c r="AF474" s="556"/>
      <c r="AG474" s="556"/>
      <c r="AH474" s="556"/>
      <c r="AI474" s="556"/>
      <c r="AJ474" s="359"/>
    </row>
    <row r="475" spans="1:97" ht="12.95" customHeight="1">
      <c r="A475" s="554"/>
      <c r="B475" s="554"/>
      <c r="C475" s="554"/>
      <c r="D475" s="1135" t="s">
        <v>2264</v>
      </c>
      <c r="E475" s="1136"/>
      <c r="F475" s="1136"/>
      <c r="G475" s="1136"/>
      <c r="H475" s="1136"/>
      <c r="I475" s="1136"/>
      <c r="J475" s="1136"/>
      <c r="K475" s="1136"/>
      <c r="L475" s="1136"/>
      <c r="M475" s="1136"/>
      <c r="N475" s="1136"/>
      <c r="O475" s="1136"/>
      <c r="P475" s="1136"/>
      <c r="Q475" s="1136"/>
      <c r="R475" s="1136"/>
      <c r="S475" s="1136"/>
      <c r="T475" s="1136"/>
      <c r="U475" s="1136"/>
      <c r="V475" s="1137"/>
      <c r="W475" s="1330">
        <v>0</v>
      </c>
      <c r="X475" s="1331"/>
      <c r="Y475" s="1332"/>
      <c r="Z475" s="555"/>
      <c r="AA475" s="555"/>
      <c r="AB475" s="555"/>
      <c r="AC475" s="555"/>
      <c r="AD475" s="556"/>
      <c r="AE475" s="556"/>
      <c r="AF475" s="556"/>
      <c r="AG475" s="556"/>
      <c r="AH475" s="556"/>
      <c r="AI475" s="556"/>
      <c r="AJ475" s="359"/>
    </row>
    <row r="476" spans="1:97" ht="12.95" customHeight="1">
      <c r="A476" s="41"/>
      <c r="B476" s="41"/>
      <c r="C476" s="41"/>
      <c r="D476" s="1135" t="s">
        <v>2200</v>
      </c>
      <c r="E476" s="1328"/>
      <c r="F476" s="1328"/>
      <c r="G476" s="1328"/>
      <c r="H476" s="1328"/>
      <c r="I476" s="1328"/>
      <c r="J476" s="1328"/>
      <c r="K476" s="1328"/>
      <c r="L476" s="1328"/>
      <c r="M476" s="1328"/>
      <c r="N476" s="1328"/>
      <c r="O476" s="1328"/>
      <c r="P476" s="1328"/>
      <c r="Q476" s="1328"/>
      <c r="R476" s="1328"/>
      <c r="S476" s="1328"/>
      <c r="T476" s="1328"/>
      <c r="U476" s="1328"/>
      <c r="V476" s="1329"/>
      <c r="W476" s="1330">
        <v>0</v>
      </c>
      <c r="X476" s="1331"/>
      <c r="Y476" s="133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95" t="s">
        <v>2409</v>
      </c>
      <c r="H477" s="1596"/>
      <c r="I477" s="1596"/>
      <c r="J477" s="1596"/>
      <c r="K477" s="1596"/>
      <c r="L477" s="1596"/>
      <c r="M477" s="1596"/>
      <c r="N477" s="1596"/>
      <c r="O477" s="1596"/>
      <c r="P477" s="1596"/>
      <c r="Q477" s="1596"/>
      <c r="R477" s="1596"/>
      <c r="S477" s="1596"/>
      <c r="T477" s="1596"/>
      <c r="U477" s="1596"/>
      <c r="V477" s="1597"/>
      <c r="W477" s="1143">
        <v>22</v>
      </c>
      <c r="X477" s="1144"/>
      <c r="Y477" s="1145"/>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33"/>
      <c r="E479" s="1333"/>
      <c r="F479" s="1333"/>
      <c r="G479" s="1333"/>
      <c r="H479" s="1333"/>
      <c r="I479" s="1333"/>
      <c r="J479" s="1333"/>
      <c r="K479" s="1333"/>
      <c r="L479" s="1333"/>
      <c r="M479" s="1333"/>
      <c r="N479" s="1333"/>
      <c r="O479" s="1333"/>
      <c r="P479" s="1333"/>
      <c r="Q479" s="1333"/>
      <c r="R479" s="1333"/>
      <c r="S479" s="1333"/>
      <c r="T479" s="1333"/>
      <c r="U479" s="1333"/>
      <c r="V479" s="1333"/>
      <c r="W479" s="1333"/>
      <c r="X479" s="1333"/>
      <c r="Y479" s="133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34"/>
      <c r="E480" s="1334"/>
      <c r="F480" s="1334"/>
      <c r="G480" s="1334"/>
      <c r="H480" s="1334"/>
      <c r="I480" s="1334"/>
      <c r="J480" s="1334"/>
      <c r="K480" s="1334"/>
      <c r="L480" s="1334"/>
      <c r="M480" s="1334"/>
      <c r="N480" s="1334"/>
      <c r="O480" s="1334"/>
      <c r="P480" s="1334"/>
      <c r="Q480" s="1334"/>
      <c r="R480" s="1334"/>
      <c r="S480" s="1334"/>
      <c r="T480" s="1334"/>
      <c r="U480" s="1334"/>
      <c r="V480" s="1334"/>
      <c r="W480" s="1334"/>
      <c r="X480" s="1334"/>
      <c r="Y480" s="133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34"/>
      <c r="E481" s="1334"/>
      <c r="F481" s="1334"/>
      <c r="G481" s="1334"/>
      <c r="H481" s="1334"/>
      <c r="I481" s="1334"/>
      <c r="J481" s="1334"/>
      <c r="K481" s="1334"/>
      <c r="L481" s="1334"/>
      <c r="M481" s="1334"/>
      <c r="N481" s="1334"/>
      <c r="O481" s="1334"/>
      <c r="P481" s="1334"/>
      <c r="Q481" s="1334"/>
      <c r="R481" s="1334"/>
      <c r="S481" s="1334"/>
      <c r="T481" s="1334"/>
      <c r="U481" s="1334"/>
      <c r="V481" s="1334"/>
      <c r="W481" s="1334"/>
      <c r="X481" s="1334"/>
      <c r="Y481" s="133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23" t="s">
        <v>1028</v>
      </c>
      <c r="B484" s="1123"/>
      <c r="C484" s="1123"/>
      <c r="D484" s="1123"/>
      <c r="E484" s="1123"/>
      <c r="F484" s="1123"/>
      <c r="G484" s="1123"/>
      <c r="H484" s="1123"/>
      <c r="I484" s="1123"/>
      <c r="J484" s="1123"/>
      <c r="K484" s="1123"/>
      <c r="L484" s="1123"/>
      <c r="M484" s="1123"/>
      <c r="N484" s="1123"/>
      <c r="O484" s="1123"/>
      <c r="P484" s="1123"/>
      <c r="Q484" s="1123"/>
      <c r="R484" s="1123"/>
      <c r="S484" s="1123"/>
      <c r="T484" s="1123"/>
      <c r="U484" s="1123"/>
      <c r="V484" s="1123"/>
      <c r="W484" s="1123"/>
      <c r="X484" s="1123"/>
      <c r="Y484" s="1123"/>
      <c r="Z484" s="1123"/>
      <c r="AA484" s="1123"/>
      <c r="AB484" s="1123"/>
      <c r="AC484" s="1123"/>
      <c r="AD484" s="1123"/>
      <c r="AE484" s="1123"/>
      <c r="AF484" s="1123"/>
      <c r="AG484" s="1123"/>
      <c r="AH484" s="1123"/>
      <c r="AI484" s="1123"/>
      <c r="AJ484" s="1123"/>
      <c r="AK484" s="1123"/>
      <c r="AL484" s="1123"/>
      <c r="AM484" s="1123"/>
      <c r="AN484" s="1123"/>
      <c r="AO484" s="1123"/>
      <c r="AP484" s="1123"/>
      <c r="AQ484" s="1123"/>
      <c r="AR484" s="1123"/>
      <c r="AS484" s="1123"/>
      <c r="AT484" s="112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23"/>
      <c r="B485" s="1123"/>
      <c r="C485" s="1123"/>
      <c r="D485" s="1123"/>
      <c r="E485" s="1123"/>
      <c r="F485" s="1123"/>
      <c r="G485" s="1123"/>
      <c r="H485" s="1123"/>
      <c r="I485" s="1123"/>
      <c r="J485" s="1123"/>
      <c r="K485" s="1123"/>
      <c r="L485" s="1123"/>
      <c r="M485" s="1123"/>
      <c r="N485" s="1123"/>
      <c r="O485" s="1123"/>
      <c r="P485" s="1123"/>
      <c r="Q485" s="1123"/>
      <c r="R485" s="1123"/>
      <c r="S485" s="1123"/>
      <c r="T485" s="1123"/>
      <c r="U485" s="1123"/>
      <c r="V485" s="1123"/>
      <c r="W485" s="1123"/>
      <c r="X485" s="1123"/>
      <c r="Y485" s="1123"/>
      <c r="Z485" s="1123"/>
      <c r="AA485" s="1123"/>
      <c r="AB485" s="1123"/>
      <c r="AC485" s="1123"/>
      <c r="AD485" s="1123"/>
      <c r="AE485" s="1123"/>
      <c r="AF485" s="1123"/>
      <c r="AG485" s="1123"/>
      <c r="AH485" s="1123"/>
      <c r="AI485" s="1123"/>
      <c r="AJ485" s="1123"/>
      <c r="AK485" s="1123"/>
      <c r="AL485" s="1123"/>
      <c r="AM485" s="1123"/>
      <c r="AN485" s="1123"/>
      <c r="AO485" s="1123"/>
      <c r="AP485" s="1123"/>
      <c r="AQ485" s="1123"/>
      <c r="AR485" s="1123"/>
      <c r="AS485" s="1123"/>
      <c r="AT485" s="112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59" t="s">
        <v>238</v>
      </c>
      <c r="R489" s="1360"/>
      <c r="S489" s="1360"/>
      <c r="T489" s="1360"/>
      <c r="U489" s="1360"/>
      <c r="V489" s="1360"/>
      <c r="W489" s="1360"/>
      <c r="X489" s="1360"/>
      <c r="Y489" s="1360"/>
      <c r="Z489" s="1360"/>
      <c r="AA489" s="1360"/>
      <c r="AB489" s="1360"/>
      <c r="AC489" s="1360"/>
      <c r="AD489" s="1360"/>
      <c r="AE489" s="1360"/>
      <c r="AF489" s="1360"/>
      <c r="AG489" s="1360"/>
      <c r="AH489" s="1360"/>
      <c r="AI489" s="1360"/>
      <c r="AJ489" s="1360"/>
      <c r="AK489" s="136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20" t="s">
        <v>2410</v>
      </c>
      <c r="R490" s="1085"/>
      <c r="S490" s="1085"/>
      <c r="T490" s="1085"/>
      <c r="U490" s="1085"/>
      <c r="V490" s="1085"/>
      <c r="W490" s="1085"/>
      <c r="X490" s="1085"/>
      <c r="Y490" s="1085"/>
      <c r="Z490" s="1085"/>
      <c r="AA490" s="1085"/>
      <c r="AB490" s="1085"/>
      <c r="AC490" s="1085"/>
      <c r="AD490" s="1085"/>
      <c r="AE490" s="1085"/>
      <c r="AF490" s="1085"/>
      <c r="AG490" s="1085"/>
      <c r="AH490" s="1085"/>
      <c r="AI490" s="1085"/>
      <c r="AJ490" s="1085"/>
      <c r="AK490" s="132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20" t="s">
        <v>2410</v>
      </c>
      <c r="R491" s="1085"/>
      <c r="S491" s="1085"/>
      <c r="T491" s="1085"/>
      <c r="U491" s="1085"/>
      <c r="V491" s="1085"/>
      <c r="W491" s="1085"/>
      <c r="X491" s="1085"/>
      <c r="Y491" s="1085"/>
      <c r="Z491" s="1085"/>
      <c r="AA491" s="1085"/>
      <c r="AB491" s="1085"/>
      <c r="AC491" s="1085"/>
      <c r="AD491" s="1085"/>
      <c r="AE491" s="1085"/>
      <c r="AF491" s="1085"/>
      <c r="AG491" s="1085"/>
      <c r="AH491" s="1085"/>
      <c r="AI491" s="1085"/>
      <c r="AJ491" s="1085"/>
      <c r="AK491" s="132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20" t="s">
        <v>2410</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32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22" t="s">
        <v>242</v>
      </c>
      <c r="C493" s="1323"/>
      <c r="D493" s="1323"/>
      <c r="E493" s="1323"/>
      <c r="F493" s="1323"/>
      <c r="G493" s="1323"/>
      <c r="H493" s="1323"/>
      <c r="I493" s="1323"/>
      <c r="J493" s="1323"/>
      <c r="K493" s="1323"/>
      <c r="L493" s="1323"/>
      <c r="M493" s="1323"/>
      <c r="N493" s="1323"/>
      <c r="O493" s="1323"/>
      <c r="P493" s="1324"/>
      <c r="Q493" s="1339" t="s">
        <v>482</v>
      </c>
      <c r="R493" s="1340"/>
      <c r="S493" s="1343" t="s">
        <v>53</v>
      </c>
      <c r="T493" s="1344"/>
      <c r="U493" s="1344"/>
      <c r="V493" s="1344"/>
      <c r="W493" s="1344"/>
      <c r="X493" s="1344"/>
      <c r="Y493" s="1344"/>
      <c r="Z493" s="1344"/>
      <c r="AA493" s="1344"/>
      <c r="AB493" s="1344"/>
      <c r="AC493" s="1344"/>
      <c r="AD493" s="1344"/>
      <c r="AE493" s="1344"/>
      <c r="AF493" s="1344"/>
      <c r="AG493" s="1344"/>
      <c r="AH493" s="1344"/>
      <c r="AI493" s="1344"/>
      <c r="AJ493" s="1344"/>
      <c r="AK493" s="134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25"/>
      <c r="C494" s="1326"/>
      <c r="D494" s="1326"/>
      <c r="E494" s="1326"/>
      <c r="F494" s="1326"/>
      <c r="G494" s="1326"/>
      <c r="H494" s="1326"/>
      <c r="I494" s="1326"/>
      <c r="J494" s="1326"/>
      <c r="K494" s="1326"/>
      <c r="L494" s="1326"/>
      <c r="M494" s="1326"/>
      <c r="N494" s="1326"/>
      <c r="O494" s="1326"/>
      <c r="P494" s="1327"/>
      <c r="Q494" s="1341"/>
      <c r="R494" s="1342"/>
      <c r="S494" s="1346"/>
      <c r="T494" s="1347"/>
      <c r="U494" s="1347"/>
      <c r="V494" s="1347"/>
      <c r="W494" s="1347"/>
      <c r="X494" s="1347"/>
      <c r="Y494" s="1347"/>
      <c r="Z494" s="1347"/>
      <c r="AA494" s="1347"/>
      <c r="AB494" s="1347"/>
      <c r="AC494" s="1347"/>
      <c r="AD494" s="1347"/>
      <c r="AE494" s="1347"/>
      <c r="AF494" s="1347"/>
      <c r="AG494" s="1347"/>
      <c r="AH494" s="1347"/>
      <c r="AI494" s="1347"/>
      <c r="AJ494" s="1347"/>
      <c r="AK494" s="13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375"/>
      <c r="R495" s="1376"/>
      <c r="S495" s="1376"/>
      <c r="T495" s="1376"/>
      <c r="U495" s="1376"/>
      <c r="V495" s="1376"/>
      <c r="W495" s="1376"/>
      <c r="X495" s="1376"/>
      <c r="Y495" s="1376"/>
      <c r="Z495" s="1376"/>
      <c r="AA495" s="1376"/>
      <c r="AB495" s="1376"/>
      <c r="AC495" s="1376"/>
      <c r="AD495" s="1376"/>
      <c r="AE495" s="1376"/>
      <c r="AF495" s="1376"/>
      <c r="AG495" s="1376"/>
      <c r="AH495" s="1376"/>
      <c r="AI495" s="1376"/>
      <c r="AJ495" s="1376"/>
      <c r="AK495" s="137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20">
        <v>0</v>
      </c>
      <c r="R496" s="1085"/>
      <c r="S496" s="1085"/>
      <c r="T496" s="1085"/>
      <c r="U496" s="1085"/>
      <c r="V496" s="1085"/>
      <c r="W496" s="1085"/>
      <c r="X496" s="1085"/>
      <c r="Y496" s="1085"/>
      <c r="Z496" s="1085"/>
      <c r="AA496" s="1085"/>
      <c r="AB496" s="1085"/>
      <c r="AC496" s="1085"/>
      <c r="AD496" s="1085"/>
      <c r="AE496" s="1085"/>
      <c r="AF496" s="1085"/>
      <c r="AG496" s="1085"/>
      <c r="AH496" s="1085"/>
      <c r="AI496" s="1085"/>
      <c r="AJ496" s="1085"/>
      <c r="AK496" s="132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20">
        <v>49</v>
      </c>
      <c r="R497" s="1085"/>
      <c r="S497" s="1085"/>
      <c r="T497" s="1085"/>
      <c r="U497" s="1085"/>
      <c r="V497" s="1085"/>
      <c r="W497" s="1085"/>
      <c r="X497" s="1085"/>
      <c r="Y497" s="1085"/>
      <c r="Z497" s="1085"/>
      <c r="AA497" s="1085"/>
      <c r="AB497" s="1085"/>
      <c r="AC497" s="1085"/>
      <c r="AD497" s="1085"/>
      <c r="AE497" s="1085"/>
      <c r="AF497" s="1085"/>
      <c r="AG497" s="1085"/>
      <c r="AH497" s="1085"/>
      <c r="AI497" s="1085"/>
      <c r="AJ497" s="1085"/>
      <c r="AK497" s="132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320">
        <v>64</v>
      </c>
      <c r="R498" s="1085"/>
      <c r="S498" s="1085"/>
      <c r="T498" s="1085"/>
      <c r="U498" s="1085"/>
      <c r="V498" s="1085"/>
      <c r="W498" s="1085"/>
      <c r="X498" s="1085"/>
      <c r="Y498" s="1085"/>
      <c r="Z498" s="1085"/>
      <c r="AA498" s="1085"/>
      <c r="AB498" s="1085"/>
      <c r="AC498" s="1085"/>
      <c r="AD498" s="1085"/>
      <c r="AE498" s="1085"/>
      <c r="AF498" s="1085"/>
      <c r="AG498" s="1085"/>
      <c r="AH498" s="1085"/>
      <c r="AI498" s="1085"/>
      <c r="AJ498" s="1085"/>
      <c r="AK498" s="132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363"/>
      <c r="N499" s="1364"/>
      <c r="O499" s="1364"/>
      <c r="P499" s="1365"/>
      <c r="Q499" s="212" t="s">
        <v>1972</v>
      </c>
      <c r="R499" s="9"/>
      <c r="S499" s="9"/>
      <c r="T499" s="9"/>
      <c r="U499" s="9"/>
      <c r="V499" s="9"/>
      <c r="W499" s="9"/>
      <c r="X499" s="9"/>
      <c r="Y499" s="9"/>
      <c r="Z499" s="9"/>
      <c r="AA499" s="9"/>
      <c r="AB499" s="9"/>
      <c r="AC499" s="9"/>
      <c r="AD499" s="9"/>
      <c r="AE499" s="9"/>
      <c r="AF499" s="9"/>
      <c r="AG499" s="9"/>
      <c r="AH499" s="1363">
        <v>64</v>
      </c>
      <c r="AI499" s="1364"/>
      <c r="AJ499" s="1364"/>
      <c r="AK499" s="136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59" t="s">
        <v>246</v>
      </c>
      <c r="AD503" s="1360"/>
      <c r="AE503" s="1360"/>
      <c r="AF503" s="1360"/>
      <c r="AG503" s="1360"/>
      <c r="AH503" s="1360"/>
      <c r="AI503" s="1360"/>
      <c r="AJ503" s="1360"/>
      <c r="AK503" s="136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59" t="s">
        <v>247</v>
      </c>
      <c r="AD504" s="1360"/>
      <c r="AE504" s="1360"/>
      <c r="AF504" s="1360"/>
      <c r="AG504" s="56" t="s">
        <v>248</v>
      </c>
      <c r="AH504" s="1360" t="s">
        <v>249</v>
      </c>
      <c r="AI504" s="1360"/>
      <c r="AJ504" s="1360"/>
      <c r="AK504" s="136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66" t="s">
        <v>250</v>
      </c>
      <c r="C505" s="1367"/>
      <c r="D505" s="1367"/>
      <c r="E505" s="1367"/>
      <c r="F505" s="1367"/>
      <c r="G505" s="1367"/>
      <c r="H505" s="1368"/>
      <c r="I505" s="7" t="s">
        <v>671</v>
      </c>
      <c r="J505" s="7"/>
      <c r="K505" s="7"/>
      <c r="L505" s="7"/>
      <c r="M505" s="7"/>
      <c r="N505" s="7"/>
      <c r="O505" s="7"/>
      <c r="P505" s="7"/>
      <c r="Q505" s="7"/>
      <c r="R505" s="7"/>
      <c r="S505" s="7"/>
      <c r="T505" s="7"/>
      <c r="U505" s="7"/>
      <c r="V505" s="7"/>
      <c r="W505" s="7"/>
      <c r="AC505" s="1317">
        <v>4</v>
      </c>
      <c r="AD505" s="1140"/>
      <c r="AE505" s="1140"/>
      <c r="AF505" s="1140"/>
      <c r="AG505" s="18" t="s">
        <v>248</v>
      </c>
      <c r="AH505" s="1093">
        <v>2023</v>
      </c>
      <c r="AI505" s="1093"/>
      <c r="AJ505" s="1093"/>
      <c r="AK505" s="109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9"/>
      <c r="C506" s="1370"/>
      <c r="D506" s="1370"/>
      <c r="E506" s="1370"/>
      <c r="F506" s="1370"/>
      <c r="G506" s="1370"/>
      <c r="H506" s="1371"/>
      <c r="I506" s="54" t="s">
        <v>672</v>
      </c>
      <c r="J506" s="54"/>
      <c r="K506" s="54"/>
      <c r="L506" s="54"/>
      <c r="M506" s="54"/>
      <c r="N506" s="54"/>
      <c r="O506" s="54"/>
      <c r="P506" s="54"/>
      <c r="Q506" s="54"/>
      <c r="R506" s="54"/>
      <c r="S506" s="54"/>
      <c r="T506" s="54"/>
      <c r="U506" s="54"/>
      <c r="V506" s="54"/>
      <c r="W506" s="54"/>
      <c r="X506" s="54"/>
      <c r="Y506" s="54"/>
      <c r="Z506" s="54"/>
      <c r="AA506" s="54"/>
      <c r="AB506" s="54"/>
      <c r="AC506" s="1317">
        <v>11</v>
      </c>
      <c r="AD506" s="1140"/>
      <c r="AE506" s="1140"/>
      <c r="AF506" s="1140"/>
      <c r="AG506" s="47" t="s">
        <v>248</v>
      </c>
      <c r="AH506" s="1093">
        <v>2021</v>
      </c>
      <c r="AI506" s="1093"/>
      <c r="AJ506" s="1093"/>
      <c r="AK506" s="109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66" t="s">
        <v>673</v>
      </c>
      <c r="C507" s="1367"/>
      <c r="D507" s="1367"/>
      <c r="E507" s="1367"/>
      <c r="F507" s="1367"/>
      <c r="G507" s="1367"/>
      <c r="H507" s="1368"/>
      <c r="I507" s="7" t="s">
        <v>674</v>
      </c>
      <c r="J507" s="7"/>
      <c r="K507" s="7"/>
      <c r="L507" s="7"/>
      <c r="M507" s="7"/>
      <c r="N507" s="7"/>
      <c r="O507" s="7"/>
      <c r="P507" s="7"/>
      <c r="Q507" s="7"/>
      <c r="R507" s="7"/>
      <c r="S507" s="7"/>
      <c r="T507" s="7"/>
      <c r="U507" s="7"/>
      <c r="V507" s="7"/>
      <c r="W507" s="7"/>
      <c r="AC507" s="1317" t="s">
        <v>124</v>
      </c>
      <c r="AD507" s="1140"/>
      <c r="AE507" s="1140"/>
      <c r="AF507" s="1140"/>
      <c r="AG507" s="18" t="s">
        <v>248</v>
      </c>
      <c r="AH507" s="1093"/>
      <c r="AI507" s="1093"/>
      <c r="AJ507" s="1093"/>
      <c r="AK507" s="109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9"/>
      <c r="C508" s="1370"/>
      <c r="D508" s="1370"/>
      <c r="E508" s="1370"/>
      <c r="F508" s="1370"/>
      <c r="G508" s="1370"/>
      <c r="H508" s="1371"/>
      <c r="I508" t="s">
        <v>675</v>
      </c>
      <c r="AC508" s="1317" t="s">
        <v>124</v>
      </c>
      <c r="AD508" s="1140"/>
      <c r="AE508" s="1140"/>
      <c r="AF508" s="1140"/>
      <c r="AG508" s="18" t="s">
        <v>248</v>
      </c>
      <c r="AH508" s="1093"/>
      <c r="AI508" s="1093"/>
      <c r="AJ508" s="1093"/>
      <c r="AK508" s="109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9"/>
      <c r="C509" s="1370"/>
      <c r="D509" s="1370"/>
      <c r="E509" s="1370"/>
      <c r="F509" s="1370"/>
      <c r="G509" s="1370"/>
      <c r="H509" s="1371"/>
      <c r="I509" t="s">
        <v>676</v>
      </c>
      <c r="AC509" s="1317" t="s">
        <v>124</v>
      </c>
      <c r="AD509" s="1140"/>
      <c r="AE509" s="1140"/>
      <c r="AF509" s="1140"/>
      <c r="AG509" s="18" t="s">
        <v>248</v>
      </c>
      <c r="AH509" s="1093"/>
      <c r="AI509" s="1093"/>
      <c r="AJ509" s="1093"/>
      <c r="AK509" s="109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9"/>
      <c r="C510" s="1370"/>
      <c r="D510" s="1370"/>
      <c r="E510" s="1370"/>
      <c r="F510" s="1370"/>
      <c r="G510" s="1370"/>
      <c r="H510" s="1371"/>
      <c r="I510" t="s">
        <v>677</v>
      </c>
      <c r="AC510" s="1317" t="s">
        <v>124</v>
      </c>
      <c r="AD510" s="1140"/>
      <c r="AE510" s="1140"/>
      <c r="AF510" s="1140"/>
      <c r="AG510" s="18" t="s">
        <v>248</v>
      </c>
      <c r="AH510" s="1093"/>
      <c r="AI510" s="1093"/>
      <c r="AJ510" s="1093"/>
      <c r="AK510" s="109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9"/>
      <c r="C511" s="1370"/>
      <c r="D511" s="1370"/>
      <c r="E511" s="1370"/>
      <c r="F511" s="1370"/>
      <c r="G511" s="1370"/>
      <c r="H511" s="1371"/>
      <c r="I511" s="41" t="s">
        <v>678</v>
      </c>
      <c r="AC511" s="1392" t="s">
        <v>124</v>
      </c>
      <c r="AD511" s="1393"/>
      <c r="AE511" s="1393"/>
      <c r="AF511" s="1393"/>
      <c r="AG511" s="18" t="s">
        <v>248</v>
      </c>
      <c r="AH511" s="1093"/>
      <c r="AI511" s="1093"/>
      <c r="AJ511" s="1093"/>
      <c r="AK511" s="109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9"/>
      <c r="C512" s="1370"/>
      <c r="D512" s="1370"/>
      <c r="E512" s="1370"/>
      <c r="F512" s="1370"/>
      <c r="G512" s="1370"/>
      <c r="H512" s="1371"/>
      <c r="I512" s="407" t="s">
        <v>283</v>
      </c>
      <c r="J512" s="54"/>
      <c r="K512" s="54"/>
      <c r="L512" s="1314" t="s">
        <v>562</v>
      </c>
      <c r="M512" s="1315"/>
      <c r="N512" s="1315"/>
      <c r="O512" s="1315"/>
      <c r="P512" s="1315"/>
      <c r="Q512" s="1315"/>
      <c r="R512" s="1315"/>
      <c r="S512" s="1315"/>
      <c r="T512" s="1315"/>
      <c r="U512" s="1315"/>
      <c r="V512" s="1315"/>
      <c r="W512" s="1315"/>
      <c r="X512" s="1315"/>
      <c r="Y512" s="1315"/>
      <c r="Z512" s="1315"/>
      <c r="AA512" s="1315"/>
      <c r="AB512" s="1594"/>
      <c r="AC512" s="1379" t="s">
        <v>124</v>
      </c>
      <c r="AD512" s="1380"/>
      <c r="AE512" s="1380"/>
      <c r="AF512" s="1380"/>
      <c r="AG512" s="47" t="s">
        <v>248</v>
      </c>
      <c r="AH512" s="1093"/>
      <c r="AI512" s="1093"/>
      <c r="AJ512" s="1093"/>
      <c r="AK512" s="109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9"/>
      <c r="C513" s="1370"/>
      <c r="D513" s="1370"/>
      <c r="E513" s="1370"/>
      <c r="F513" s="1370"/>
      <c r="G513" s="1370"/>
      <c r="H513" s="1371"/>
      <c r="I513" s="41" t="s">
        <v>1973</v>
      </c>
      <c r="AC513" s="1427" t="s">
        <v>482</v>
      </c>
      <c r="AD513" s="1427"/>
      <c r="AE513" s="1427"/>
      <c r="AF513" s="1427"/>
      <c r="AG513" s="18"/>
      <c r="AH513" s="1428"/>
      <c r="AI513" s="1428"/>
      <c r="AJ513" s="1428"/>
      <c r="AK513" s="142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9"/>
      <c r="C514" s="1370"/>
      <c r="D514" s="1370"/>
      <c r="E514" s="1370"/>
      <c r="F514" s="1370"/>
      <c r="G514" s="1370"/>
      <c r="H514" s="1371"/>
      <c r="I514" t="s">
        <v>1974</v>
      </c>
      <c r="AC514" s="1392"/>
      <c r="AD514" s="1393"/>
      <c r="AE514" s="1393"/>
      <c r="AF514" s="1413"/>
      <c r="AG514" s="18"/>
      <c r="AH514" s="1428"/>
      <c r="AI514" s="1428"/>
      <c r="AJ514" s="1428"/>
      <c r="AK514" s="142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9"/>
      <c r="C515" s="1370"/>
      <c r="D515" s="1370"/>
      <c r="E515" s="1370"/>
      <c r="F515" s="1370"/>
      <c r="G515" s="1370"/>
      <c r="H515" s="1371"/>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9"/>
      <c r="C516" s="1370"/>
      <c r="D516" s="1370"/>
      <c r="E516" s="1370"/>
      <c r="F516" s="1370"/>
      <c r="G516" s="1370"/>
      <c r="H516" s="1371"/>
      <c r="I516" s="835" t="s">
        <v>1976</v>
      </c>
      <c r="J516" s="54"/>
      <c r="K516" s="54"/>
      <c r="L516" s="54"/>
      <c r="M516" s="54"/>
      <c r="N516" s="54"/>
      <c r="O516" s="54"/>
      <c r="P516" s="54"/>
      <c r="Q516" s="54"/>
      <c r="R516" s="54"/>
      <c r="S516" s="54"/>
      <c r="T516" s="54"/>
      <c r="U516" s="54"/>
      <c r="V516" s="54"/>
      <c r="W516" s="54"/>
      <c r="X516" s="54"/>
      <c r="Y516" s="54"/>
      <c r="Z516" s="54"/>
      <c r="AA516" s="54"/>
      <c r="AB516" s="54"/>
      <c r="AC516" s="1389">
        <v>0.5</v>
      </c>
      <c r="AD516" s="1390"/>
      <c r="AE516" s="1390"/>
      <c r="AF516" s="1391"/>
      <c r="AG516" s="47"/>
      <c r="AH516" s="1517"/>
      <c r="AI516" s="1517"/>
      <c r="AJ516" s="1517"/>
      <c r="AK516" s="151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66" t="s">
        <v>679</v>
      </c>
      <c r="C517" s="1367"/>
      <c r="D517" s="1367"/>
      <c r="E517" s="1367"/>
      <c r="F517" s="1367"/>
      <c r="G517" s="1367"/>
      <c r="H517" s="1368"/>
      <c r="I517" s="7" t="s">
        <v>680</v>
      </c>
      <c r="J517" s="7"/>
      <c r="K517" s="7"/>
      <c r="L517" s="7"/>
      <c r="M517" s="7"/>
      <c r="N517" s="7"/>
      <c r="O517" s="7"/>
      <c r="P517" s="7"/>
      <c r="Q517" s="7"/>
      <c r="R517" s="7"/>
      <c r="S517" s="7"/>
      <c r="T517" s="7"/>
      <c r="U517" s="7"/>
      <c r="V517" s="7"/>
      <c r="W517" s="7"/>
      <c r="AC517" s="1317">
        <v>6</v>
      </c>
      <c r="AD517" s="1140"/>
      <c r="AE517" s="1140"/>
      <c r="AF517" s="1140"/>
      <c r="AG517" s="18" t="s">
        <v>248</v>
      </c>
      <c r="AH517" s="1093">
        <v>2025</v>
      </c>
      <c r="AI517" s="1093"/>
      <c r="AJ517" s="1093"/>
      <c r="AK517" s="109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9"/>
      <c r="C518" s="1370"/>
      <c r="D518" s="1370"/>
      <c r="E518" s="1370"/>
      <c r="F518" s="1370"/>
      <c r="G518" s="1370"/>
      <c r="H518" s="1371"/>
      <c r="I518" t="s">
        <v>681</v>
      </c>
      <c r="AC518" s="1317">
        <v>6</v>
      </c>
      <c r="AD518" s="1140"/>
      <c r="AE518" s="1140"/>
      <c r="AF518" s="1140"/>
      <c r="AG518" s="18" t="s">
        <v>248</v>
      </c>
      <c r="AH518" s="1093">
        <v>2025</v>
      </c>
      <c r="AI518" s="1093"/>
      <c r="AJ518" s="1093"/>
      <c r="AK518" s="109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9"/>
      <c r="C519" s="1370"/>
      <c r="D519" s="1370"/>
      <c r="E519" s="1370"/>
      <c r="F519" s="1370"/>
      <c r="G519" s="1370"/>
      <c r="H519" s="1371"/>
      <c r="I519" s="54" t="s">
        <v>682</v>
      </c>
      <c r="J519" s="54"/>
      <c r="K519" s="54"/>
      <c r="L519" s="54"/>
      <c r="M519" s="54"/>
      <c r="N519" s="54"/>
      <c r="O519" s="54"/>
      <c r="P519" s="54"/>
      <c r="Q519" s="54"/>
      <c r="R519" s="54"/>
      <c r="S519" s="54"/>
      <c r="T519" s="54"/>
      <c r="U519" s="54"/>
      <c r="V519" s="54"/>
      <c r="W519" s="54"/>
      <c r="X519" s="54"/>
      <c r="Y519" s="54"/>
      <c r="Z519" s="54"/>
      <c r="AA519" s="54"/>
      <c r="AB519" s="54"/>
      <c r="AC519" s="1317">
        <v>3</v>
      </c>
      <c r="AD519" s="1140"/>
      <c r="AE519" s="1140"/>
      <c r="AF519" s="1140"/>
      <c r="AG519" s="47" t="s">
        <v>248</v>
      </c>
      <c r="AH519" s="1093">
        <v>2026</v>
      </c>
      <c r="AI519" s="1093"/>
      <c r="AJ519" s="1093"/>
      <c r="AK519" s="109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66" t="s">
        <v>683</v>
      </c>
      <c r="C520" s="1367"/>
      <c r="D520" s="1367"/>
      <c r="E520" s="1367"/>
      <c r="F520" s="1367"/>
      <c r="G520" s="1367"/>
      <c r="H520" s="1368"/>
      <c r="I520" s="7" t="s">
        <v>680</v>
      </c>
      <c r="J520" s="7"/>
      <c r="K520" s="7"/>
      <c r="L520" s="7"/>
      <c r="M520" s="7"/>
      <c r="N520" s="7"/>
      <c r="O520" s="7"/>
      <c r="P520" s="7"/>
      <c r="Q520" s="7"/>
      <c r="R520" s="7"/>
      <c r="S520" s="7"/>
      <c r="T520" s="7"/>
      <c r="U520" s="7"/>
      <c r="V520" s="7"/>
      <c r="W520" s="7"/>
      <c r="X520" s="7"/>
      <c r="Y520" s="7"/>
      <c r="Z520" s="7"/>
      <c r="AA520" s="7"/>
      <c r="AB520" s="7"/>
      <c r="AC520" s="1158">
        <v>6</v>
      </c>
      <c r="AD520" s="1159"/>
      <c r="AE520" s="1159"/>
      <c r="AF520" s="1159"/>
      <c r="AG520" s="228" t="s">
        <v>248</v>
      </c>
      <c r="AH520" s="1093">
        <v>2025</v>
      </c>
      <c r="AI520" s="1093"/>
      <c r="AJ520" s="1093"/>
      <c r="AK520" s="109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9"/>
      <c r="C521" s="1370"/>
      <c r="D521" s="1370"/>
      <c r="E521" s="1370"/>
      <c r="F521" s="1370"/>
      <c r="G521" s="1370"/>
      <c r="H521" s="1371"/>
      <c r="I521" t="s">
        <v>681</v>
      </c>
      <c r="AC521" s="1317">
        <v>6</v>
      </c>
      <c r="AD521" s="1140"/>
      <c r="AE521" s="1140"/>
      <c r="AF521" s="1140"/>
      <c r="AG521" s="18" t="s">
        <v>248</v>
      </c>
      <c r="AH521" s="1093">
        <v>2025</v>
      </c>
      <c r="AI521" s="1093"/>
      <c r="AJ521" s="1093"/>
      <c r="AK521" s="109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72"/>
      <c r="C522" s="1373"/>
      <c r="D522" s="1373"/>
      <c r="E522" s="1373"/>
      <c r="F522" s="1373"/>
      <c r="G522" s="1373"/>
      <c r="H522" s="1374"/>
      <c r="I522" s="54" t="s">
        <v>682</v>
      </c>
      <c r="J522" s="54"/>
      <c r="K522" s="54"/>
      <c r="L522" s="54"/>
      <c r="M522" s="54"/>
      <c r="N522" s="54"/>
      <c r="O522" s="54"/>
      <c r="P522" s="54"/>
      <c r="Q522" s="54"/>
      <c r="R522" s="54"/>
      <c r="S522" s="54"/>
      <c r="T522" s="54"/>
      <c r="U522" s="54"/>
      <c r="V522" s="54"/>
      <c r="W522" s="54"/>
      <c r="X522" s="54"/>
      <c r="Y522" s="54"/>
      <c r="Z522" s="54"/>
      <c r="AA522" s="54"/>
      <c r="AB522" s="54"/>
      <c r="AC522" s="1317">
        <v>3</v>
      </c>
      <c r="AD522" s="1140"/>
      <c r="AE522" s="1140"/>
      <c r="AF522" s="1140"/>
      <c r="AG522" s="47" t="s">
        <v>248</v>
      </c>
      <c r="AH522" s="1093">
        <v>2026</v>
      </c>
      <c r="AI522" s="1093"/>
      <c r="AJ522" s="1093"/>
      <c r="AK522" s="109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66" t="s">
        <v>684</v>
      </c>
      <c r="C523" s="1367"/>
      <c r="D523" s="1367"/>
      <c r="E523" s="1367"/>
      <c r="F523" s="1367"/>
      <c r="G523" s="1367"/>
      <c r="H523" s="1368"/>
      <c r="I523" s="6" t="s">
        <v>685</v>
      </c>
      <c r="J523" s="7"/>
      <c r="K523" s="7"/>
      <c r="L523" s="7"/>
      <c r="M523" s="7"/>
      <c r="N523" s="7"/>
      <c r="O523" s="1314" t="s">
        <v>2457</v>
      </c>
      <c r="P523" s="1315"/>
      <c r="Q523" s="1315"/>
      <c r="R523" s="1315"/>
      <c r="S523" s="1315"/>
      <c r="T523" s="1315"/>
      <c r="U523" s="1315"/>
      <c r="V523" s="1315"/>
      <c r="W523" s="1315"/>
      <c r="X523" s="1315"/>
      <c r="Y523" s="1315"/>
      <c r="Z523" s="1315"/>
      <c r="AA523" s="1315"/>
      <c r="AB523" s="64"/>
      <c r="AC523" s="1158" t="s">
        <v>124</v>
      </c>
      <c r="AD523" s="1159"/>
      <c r="AE523" s="1159"/>
      <c r="AF523" s="1159"/>
      <c r="AG523" s="228" t="s">
        <v>248</v>
      </c>
      <c r="AH523" s="1093"/>
      <c r="AI523" s="1093"/>
      <c r="AJ523" s="1093"/>
      <c r="AK523" s="109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9"/>
      <c r="C524" s="1370"/>
      <c r="D524" s="1370"/>
      <c r="E524" s="1370"/>
      <c r="F524" s="1370"/>
      <c r="G524" s="1370"/>
      <c r="H524" s="1371"/>
      <c r="I524" s="202" t="s">
        <v>686</v>
      </c>
      <c r="AB524" s="71"/>
      <c r="AC524" s="1317">
        <v>2</v>
      </c>
      <c r="AD524" s="1140"/>
      <c r="AE524" s="1140"/>
      <c r="AF524" s="1140"/>
      <c r="AG524" s="18" t="s">
        <v>248</v>
      </c>
      <c r="AH524" s="1093">
        <v>2022</v>
      </c>
      <c r="AI524" s="1093"/>
      <c r="AJ524" s="1093"/>
      <c r="AK524" s="109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9"/>
      <c r="C525" s="1370"/>
      <c r="D525" s="1370"/>
      <c r="E525" s="1370"/>
      <c r="F525" s="1370"/>
      <c r="G525" s="1370"/>
      <c r="H525" s="1371"/>
      <c r="I525" s="53" t="s">
        <v>687</v>
      </c>
      <c r="J525" s="54"/>
      <c r="K525" s="54"/>
      <c r="L525" s="54"/>
      <c r="M525" s="54"/>
      <c r="N525" s="54"/>
      <c r="O525" s="54"/>
      <c r="P525" s="54"/>
      <c r="Q525" s="54"/>
      <c r="R525" s="54"/>
      <c r="S525" s="54"/>
      <c r="T525" s="54"/>
      <c r="U525" s="54"/>
      <c r="V525" s="54"/>
      <c r="W525" s="54"/>
      <c r="X525" s="54"/>
      <c r="Y525" s="54"/>
      <c r="Z525" s="54"/>
      <c r="AA525" s="54"/>
      <c r="AB525" s="55"/>
      <c r="AC525" s="1317">
        <v>6</v>
      </c>
      <c r="AD525" s="1140"/>
      <c r="AE525" s="1140"/>
      <c r="AF525" s="1140"/>
      <c r="AG525" s="47" t="s">
        <v>248</v>
      </c>
      <c r="AH525" s="1093">
        <v>2022</v>
      </c>
      <c r="AI525" s="1093"/>
      <c r="AJ525" s="1093"/>
      <c r="AK525" s="1094"/>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9"/>
      <c r="C526" s="1370"/>
      <c r="D526" s="1370"/>
      <c r="E526" s="1370"/>
      <c r="F526" s="1370"/>
      <c r="G526" s="1370"/>
      <c r="H526" s="1371"/>
      <c r="I526" s="7" t="s">
        <v>688</v>
      </c>
      <c r="J526" s="7"/>
      <c r="K526" s="7"/>
      <c r="L526" s="7"/>
      <c r="M526" s="7"/>
      <c r="N526" s="7"/>
      <c r="O526" s="1314" t="s">
        <v>2458</v>
      </c>
      <c r="P526" s="1315"/>
      <c r="Q526" s="1315"/>
      <c r="R526" s="1315"/>
      <c r="S526" s="1315"/>
      <c r="T526" s="1315"/>
      <c r="U526" s="1315"/>
      <c r="V526" s="1315"/>
      <c r="W526" s="1315"/>
      <c r="X526" s="1315"/>
      <c r="Y526" s="1315"/>
      <c r="Z526" s="1315"/>
      <c r="AA526" s="1315"/>
      <c r="AC526" s="1317" t="s">
        <v>124</v>
      </c>
      <c r="AD526" s="1140"/>
      <c r="AE526" s="1140"/>
      <c r="AF526" s="1140"/>
      <c r="AG526" s="18" t="s">
        <v>248</v>
      </c>
      <c r="AH526" s="1093"/>
      <c r="AI526" s="1093"/>
      <c r="AJ526" s="1093"/>
      <c r="AK526" s="1094"/>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9"/>
      <c r="C527" s="1370"/>
      <c r="D527" s="1370"/>
      <c r="E527" s="1370"/>
      <c r="F527" s="1370"/>
      <c r="G527" s="1370"/>
      <c r="H527" s="1371"/>
      <c r="I527" t="s">
        <v>686</v>
      </c>
      <c r="AC527" s="1317">
        <v>4</v>
      </c>
      <c r="AD527" s="1140"/>
      <c r="AE527" s="1140"/>
      <c r="AF527" s="1140"/>
      <c r="AG527" s="18" t="s">
        <v>248</v>
      </c>
      <c r="AH527" s="1093">
        <v>2024</v>
      </c>
      <c r="AI527" s="1093"/>
      <c r="AJ527" s="1093"/>
      <c r="AK527" s="1094"/>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9"/>
      <c r="C528" s="1370"/>
      <c r="D528" s="1370"/>
      <c r="E528" s="1370"/>
      <c r="F528" s="1370"/>
      <c r="G528" s="1370"/>
      <c r="H528" s="1371"/>
      <c r="I528" s="54" t="s">
        <v>687</v>
      </c>
      <c r="J528" s="54"/>
      <c r="K528" s="54"/>
      <c r="L528" s="54"/>
      <c r="M528" s="54"/>
      <c r="N528" s="54"/>
      <c r="O528" s="54"/>
      <c r="P528" s="54"/>
      <c r="Q528" s="54"/>
      <c r="R528" s="54"/>
      <c r="S528" s="54"/>
      <c r="T528" s="54"/>
      <c r="U528" s="54"/>
      <c r="V528" s="54"/>
      <c r="W528" s="54"/>
      <c r="X528" s="54"/>
      <c r="Y528" s="54"/>
      <c r="Z528" s="54"/>
      <c r="AA528" s="54"/>
      <c r="AB528" s="54"/>
      <c r="AC528" s="1317">
        <v>4</v>
      </c>
      <c r="AD528" s="1140"/>
      <c r="AE528" s="1140"/>
      <c r="AF528" s="1140"/>
      <c r="AG528" s="47" t="s">
        <v>248</v>
      </c>
      <c r="AH528" s="1093">
        <v>2025</v>
      </c>
      <c r="AI528" s="1093"/>
      <c r="AJ528" s="1093"/>
      <c r="AK528" s="1094"/>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9"/>
      <c r="C529" s="1370"/>
      <c r="D529" s="1370"/>
      <c r="E529" s="1370"/>
      <c r="F529" s="1370"/>
      <c r="G529" s="1370"/>
      <c r="H529" s="1371"/>
      <c r="I529" s="7" t="s">
        <v>688</v>
      </c>
      <c r="J529" s="7"/>
      <c r="K529" s="7"/>
      <c r="L529" s="7"/>
      <c r="M529" s="7"/>
      <c r="N529" s="7"/>
      <c r="O529" s="1314" t="s">
        <v>562</v>
      </c>
      <c r="P529" s="1315"/>
      <c r="Q529" s="1315"/>
      <c r="R529" s="1315"/>
      <c r="S529" s="1315"/>
      <c r="T529" s="1315"/>
      <c r="U529" s="1315"/>
      <c r="V529" s="1315"/>
      <c r="W529" s="1315"/>
      <c r="X529" s="1315"/>
      <c r="Y529" s="1315"/>
      <c r="Z529" s="1315"/>
      <c r="AA529" s="1315"/>
      <c r="AC529" s="1317" t="s">
        <v>124</v>
      </c>
      <c r="AD529" s="1140"/>
      <c r="AE529" s="1140"/>
      <c r="AF529" s="1140"/>
      <c r="AG529" s="18" t="s">
        <v>248</v>
      </c>
      <c r="AH529" s="1093"/>
      <c r="AI529" s="1093"/>
      <c r="AJ529" s="1093"/>
      <c r="AK529" s="1094"/>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9"/>
      <c r="C530" s="1370"/>
      <c r="D530" s="1370"/>
      <c r="E530" s="1370"/>
      <c r="F530" s="1370"/>
      <c r="G530" s="1370"/>
      <c r="H530" s="1371"/>
      <c r="I530" t="s">
        <v>686</v>
      </c>
      <c r="AC530" s="1317" t="s">
        <v>124</v>
      </c>
      <c r="AD530" s="1140"/>
      <c r="AE530" s="1140"/>
      <c r="AF530" s="1140"/>
      <c r="AG530" s="18" t="s">
        <v>248</v>
      </c>
      <c r="AH530" s="1093"/>
      <c r="AI530" s="1093"/>
      <c r="AJ530" s="1093"/>
      <c r="AK530" s="1094"/>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9"/>
      <c r="C531" s="1370"/>
      <c r="D531" s="1370"/>
      <c r="E531" s="1370"/>
      <c r="F531" s="1370"/>
      <c r="G531" s="1370"/>
      <c r="H531" s="1371"/>
      <c r="I531" s="54" t="s">
        <v>687</v>
      </c>
      <c r="J531" s="54"/>
      <c r="K531" s="54"/>
      <c r="L531" s="54"/>
      <c r="M531" s="54"/>
      <c r="N531" s="54"/>
      <c r="O531" s="54"/>
      <c r="P531" s="54"/>
      <c r="Q531" s="54"/>
      <c r="R531" s="54"/>
      <c r="S531" s="54"/>
      <c r="T531" s="54"/>
      <c r="U531" s="54"/>
      <c r="V531" s="54"/>
      <c r="W531" s="54"/>
      <c r="X531" s="54"/>
      <c r="Y531" s="54"/>
      <c r="Z531" s="54"/>
      <c r="AA531" s="54"/>
      <c r="AB531" s="54"/>
      <c r="AC531" s="1317" t="s">
        <v>124</v>
      </c>
      <c r="AD531" s="1140"/>
      <c r="AE531" s="1140"/>
      <c r="AF531" s="1140"/>
      <c r="AG531" s="47" t="s">
        <v>248</v>
      </c>
      <c r="AH531" s="1093"/>
      <c r="AI531" s="1093"/>
      <c r="AJ531" s="1093"/>
      <c r="AK531" s="1094"/>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9"/>
      <c r="C532" s="1370"/>
      <c r="D532" s="1370"/>
      <c r="E532" s="1370"/>
      <c r="F532" s="1370"/>
      <c r="G532" s="1370"/>
      <c r="H532" s="1371"/>
      <c r="I532" s="7" t="s">
        <v>688</v>
      </c>
      <c r="J532" s="7"/>
      <c r="K532" s="7"/>
      <c r="L532" s="7"/>
      <c r="M532" s="7"/>
      <c r="N532" s="7"/>
      <c r="O532" s="1314" t="s">
        <v>562</v>
      </c>
      <c r="P532" s="1315"/>
      <c r="Q532" s="1315"/>
      <c r="R532" s="1315"/>
      <c r="S532" s="1315"/>
      <c r="T532" s="1315"/>
      <c r="U532" s="1315"/>
      <c r="V532" s="1315"/>
      <c r="W532" s="1315"/>
      <c r="X532" s="1315"/>
      <c r="Y532" s="1315"/>
      <c r="Z532" s="1315"/>
      <c r="AA532" s="1315"/>
      <c r="AC532" s="1317" t="s">
        <v>124</v>
      </c>
      <c r="AD532" s="1140"/>
      <c r="AE532" s="1140"/>
      <c r="AF532" s="1140"/>
      <c r="AG532" s="18" t="s">
        <v>248</v>
      </c>
      <c r="AH532" s="1093"/>
      <c r="AI532" s="1093"/>
      <c r="AJ532" s="1093"/>
      <c r="AK532" s="1094"/>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9"/>
      <c r="C533" s="1370"/>
      <c r="D533" s="1370"/>
      <c r="E533" s="1370"/>
      <c r="F533" s="1370"/>
      <c r="G533" s="1370"/>
      <c r="H533" s="1371"/>
      <c r="I533" t="s">
        <v>686</v>
      </c>
      <c r="AC533" s="1317" t="s">
        <v>124</v>
      </c>
      <c r="AD533" s="1140"/>
      <c r="AE533" s="1140"/>
      <c r="AF533" s="1140"/>
      <c r="AG533" s="18" t="s">
        <v>248</v>
      </c>
      <c r="AH533" s="1093"/>
      <c r="AI533" s="1093"/>
      <c r="AJ533" s="1093"/>
      <c r="AK533" s="1094"/>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9"/>
      <c r="C534" s="1370"/>
      <c r="D534" s="1370"/>
      <c r="E534" s="1370"/>
      <c r="F534" s="1370"/>
      <c r="G534" s="1370"/>
      <c r="H534" s="1371"/>
      <c r="I534" s="54" t="s">
        <v>687</v>
      </c>
      <c r="J534" s="54"/>
      <c r="K534" s="54"/>
      <c r="L534" s="54"/>
      <c r="M534" s="54"/>
      <c r="N534" s="54"/>
      <c r="O534" s="54"/>
      <c r="P534" s="54"/>
      <c r="Q534" s="54"/>
      <c r="R534" s="54"/>
      <c r="S534" s="54"/>
      <c r="T534" s="54"/>
      <c r="U534" s="54"/>
      <c r="V534" s="54"/>
      <c r="W534" s="54"/>
      <c r="X534" s="54"/>
      <c r="Y534" s="54"/>
      <c r="Z534" s="54"/>
      <c r="AA534" s="54"/>
      <c r="AB534" s="54"/>
      <c r="AC534" s="1317" t="s">
        <v>124</v>
      </c>
      <c r="AD534" s="1140"/>
      <c r="AE534" s="1140"/>
      <c r="AF534" s="1140"/>
      <c r="AG534" s="47" t="s">
        <v>248</v>
      </c>
      <c r="AH534" s="1093"/>
      <c r="AI534" s="1093"/>
      <c r="AJ534" s="1093"/>
      <c r="AK534" s="1094"/>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9"/>
      <c r="C535" s="1370"/>
      <c r="D535" s="1370"/>
      <c r="E535" s="1370"/>
      <c r="F535" s="1370"/>
      <c r="G535" s="1370"/>
      <c r="H535" s="1371"/>
      <c r="I535" s="7" t="s">
        <v>688</v>
      </c>
      <c r="J535" s="7"/>
      <c r="K535" s="7"/>
      <c r="L535" s="7"/>
      <c r="M535" s="7"/>
      <c r="N535" s="7"/>
      <c r="O535" s="1314" t="s">
        <v>562</v>
      </c>
      <c r="P535" s="1315"/>
      <c r="Q535" s="1315"/>
      <c r="R535" s="1315"/>
      <c r="S535" s="1315"/>
      <c r="T535" s="1315"/>
      <c r="U535" s="1315"/>
      <c r="V535" s="1315"/>
      <c r="W535" s="1315"/>
      <c r="X535" s="1315"/>
      <c r="Y535" s="1315"/>
      <c r="Z535" s="1315"/>
      <c r="AA535" s="1315"/>
      <c r="AC535" s="1317" t="s">
        <v>124</v>
      </c>
      <c r="AD535" s="1140"/>
      <c r="AE535" s="1140"/>
      <c r="AF535" s="1140"/>
      <c r="AG535" s="18" t="s">
        <v>248</v>
      </c>
      <c r="AH535" s="1093"/>
      <c r="AI535" s="1093"/>
      <c r="AJ535" s="1093"/>
      <c r="AK535" s="1094"/>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9"/>
      <c r="C536" s="1370"/>
      <c r="D536" s="1370"/>
      <c r="E536" s="1370"/>
      <c r="F536" s="1370"/>
      <c r="G536" s="1370"/>
      <c r="H536" s="1371"/>
      <c r="I536" t="s">
        <v>686</v>
      </c>
      <c r="AC536" s="1317" t="s">
        <v>124</v>
      </c>
      <c r="AD536" s="1140"/>
      <c r="AE536" s="1140"/>
      <c r="AF536" s="1140"/>
      <c r="AG536" s="47" t="s">
        <v>248</v>
      </c>
      <c r="AH536" s="1093"/>
      <c r="AI536" s="1093"/>
      <c r="AJ536" s="1093"/>
      <c r="AK536" s="1094"/>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9"/>
      <c r="C537" s="1370"/>
      <c r="D537" s="1370"/>
      <c r="E537" s="1370"/>
      <c r="F537" s="1370"/>
      <c r="G537" s="1370"/>
      <c r="H537" s="1371"/>
      <c r="I537" s="54" t="s">
        <v>687</v>
      </c>
      <c r="J537" s="54"/>
      <c r="K537" s="54"/>
      <c r="L537" s="54"/>
      <c r="M537" s="54"/>
      <c r="N537" s="54"/>
      <c r="O537" s="54"/>
      <c r="P537" s="54"/>
      <c r="Q537" s="54"/>
      <c r="R537" s="54"/>
      <c r="S537" s="54"/>
      <c r="T537" s="54"/>
      <c r="U537" s="54"/>
      <c r="V537" s="54"/>
      <c r="W537" s="54"/>
      <c r="X537" s="54"/>
      <c r="Y537" s="54"/>
      <c r="Z537" s="54"/>
      <c r="AA537" s="54"/>
      <c r="AB537" s="54"/>
      <c r="AC537" s="1317" t="s">
        <v>124</v>
      </c>
      <c r="AD537" s="1140"/>
      <c r="AE537" s="1140"/>
      <c r="AF537" s="1140"/>
      <c r="AG537" s="18" t="s">
        <v>248</v>
      </c>
      <c r="AH537" s="1093"/>
      <c r="AI537" s="1093"/>
      <c r="AJ537" s="1093"/>
      <c r="AK537" s="1094"/>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9"/>
      <c r="C538" s="1370"/>
      <c r="D538" s="1370"/>
      <c r="E538" s="1370"/>
      <c r="F538" s="1370"/>
      <c r="G538" s="1370"/>
      <c r="H538" s="1371"/>
      <c r="I538" s="7" t="s">
        <v>688</v>
      </c>
      <c r="J538" s="7"/>
      <c r="K538" s="7"/>
      <c r="L538" s="7"/>
      <c r="M538" s="7"/>
      <c r="N538" s="7"/>
      <c r="O538" s="1314" t="s">
        <v>562</v>
      </c>
      <c r="P538" s="1315"/>
      <c r="Q538" s="1315"/>
      <c r="R538" s="1315"/>
      <c r="S538" s="1315"/>
      <c r="T538" s="1315"/>
      <c r="U538" s="1315"/>
      <c r="V538" s="1315"/>
      <c r="W538" s="1315"/>
      <c r="X538" s="1315"/>
      <c r="Y538" s="1315"/>
      <c r="Z538" s="1315"/>
      <c r="AA538" s="1315"/>
      <c r="AC538" s="1317" t="s">
        <v>124</v>
      </c>
      <c r="AD538" s="1140"/>
      <c r="AE538" s="1140"/>
      <c r="AF538" s="1140"/>
      <c r="AG538" s="47" t="s">
        <v>248</v>
      </c>
      <c r="AH538" s="1093"/>
      <c r="AI538" s="1093"/>
      <c r="AJ538" s="1093"/>
      <c r="AK538" s="1094"/>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9"/>
      <c r="C539" s="1370"/>
      <c r="D539" s="1370"/>
      <c r="E539" s="1370"/>
      <c r="F539" s="1370"/>
      <c r="G539" s="1370"/>
      <c r="H539" s="1371"/>
      <c r="I539" t="s">
        <v>686</v>
      </c>
      <c r="AC539" s="1317" t="s">
        <v>124</v>
      </c>
      <c r="AD539" s="1140"/>
      <c r="AE539" s="1140"/>
      <c r="AF539" s="1140"/>
      <c r="AG539" s="18" t="s">
        <v>248</v>
      </c>
      <c r="AH539" s="1093"/>
      <c r="AI539" s="1093"/>
      <c r="AJ539" s="1093"/>
      <c r="AK539" s="1094"/>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9"/>
      <c r="C540" s="1370"/>
      <c r="D540" s="1370"/>
      <c r="E540" s="1370"/>
      <c r="F540" s="1370"/>
      <c r="G540" s="1370"/>
      <c r="H540" s="1371"/>
      <c r="I540" s="54" t="s">
        <v>687</v>
      </c>
      <c r="J540" s="54"/>
      <c r="K540" s="54"/>
      <c r="L540" s="54"/>
      <c r="M540" s="54"/>
      <c r="N540" s="54"/>
      <c r="O540" s="54"/>
      <c r="P540" s="54"/>
      <c r="Q540" s="54"/>
      <c r="R540" s="54"/>
      <c r="S540" s="54"/>
      <c r="T540" s="54"/>
      <c r="U540" s="54"/>
      <c r="V540" s="54"/>
      <c r="W540" s="54"/>
      <c r="X540" s="54"/>
      <c r="Y540" s="54"/>
      <c r="Z540" s="54"/>
      <c r="AA540" s="54"/>
      <c r="AB540" s="54"/>
      <c r="AC540" s="1317" t="s">
        <v>124</v>
      </c>
      <c r="AD540" s="1140"/>
      <c r="AE540" s="1140"/>
      <c r="AF540" s="1140"/>
      <c r="AG540" s="47" t="s">
        <v>248</v>
      </c>
      <c r="AH540" s="1093"/>
      <c r="AI540" s="1093"/>
      <c r="AJ540" s="1093"/>
      <c r="AK540" s="1094"/>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9"/>
      <c r="C541" s="1370"/>
      <c r="D541" s="1370"/>
      <c r="E541" s="1370"/>
      <c r="F541" s="1370"/>
      <c r="G541" s="1370"/>
      <c r="H541" s="1371"/>
      <c r="I541" s="7" t="s">
        <v>735</v>
      </c>
      <c r="J541" s="7"/>
      <c r="K541" s="7"/>
      <c r="L541" s="7"/>
      <c r="M541" s="7"/>
      <c r="N541" s="7"/>
      <c r="O541" s="7"/>
      <c r="P541" s="7"/>
      <c r="Q541" s="7"/>
      <c r="R541" s="7"/>
      <c r="S541" s="7"/>
      <c r="T541" s="7"/>
      <c r="U541" s="7"/>
      <c r="V541" s="7"/>
      <c r="W541" s="7"/>
      <c r="AC541" s="1073">
        <v>3</v>
      </c>
      <c r="AD541" s="1074"/>
      <c r="AE541" s="1074"/>
      <c r="AF541" s="1074"/>
      <c r="AG541" s="47" t="s">
        <v>248</v>
      </c>
      <c r="AH541" s="1062">
        <v>2027</v>
      </c>
      <c r="AI541" s="1062"/>
      <c r="AJ541" s="1062"/>
      <c r="AK541" s="1063"/>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9"/>
      <c r="C542" s="1370"/>
      <c r="D542" s="1370"/>
      <c r="E542" s="1370"/>
      <c r="F542" s="1370"/>
      <c r="G542" s="1370"/>
      <c r="H542" s="1371"/>
      <c r="I542" t="s">
        <v>736</v>
      </c>
      <c r="AC542" s="1073">
        <v>3</v>
      </c>
      <c r="AD542" s="1074"/>
      <c r="AE542" s="1074"/>
      <c r="AF542" s="1074"/>
      <c r="AG542" s="18" t="s">
        <v>248</v>
      </c>
      <c r="AH542" s="1062">
        <v>2026</v>
      </c>
      <c r="AI542" s="1062"/>
      <c r="AJ542" s="1062"/>
      <c r="AK542" s="1063"/>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9"/>
      <c r="C543" s="1370"/>
      <c r="D543" s="1370"/>
      <c r="E543" s="1370"/>
      <c r="F543" s="1370"/>
      <c r="G543" s="1370"/>
      <c r="H543" s="1371"/>
      <c r="I543" t="s">
        <v>737</v>
      </c>
      <c r="AC543" s="1073">
        <v>9</v>
      </c>
      <c r="AD543" s="1074"/>
      <c r="AE543" s="1074"/>
      <c r="AF543" s="1074"/>
      <c r="AG543" s="47" t="s">
        <v>248</v>
      </c>
      <c r="AH543" s="1062">
        <v>2027</v>
      </c>
      <c r="AI543" s="1062"/>
      <c r="AJ543" s="1062"/>
      <c r="AK543" s="1063"/>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9"/>
      <c r="C544" s="1370"/>
      <c r="D544" s="1370"/>
      <c r="E544" s="1370"/>
      <c r="F544" s="1370"/>
      <c r="G544" s="1370"/>
      <c r="H544" s="1371"/>
      <c r="I544" t="s">
        <v>738</v>
      </c>
      <c r="AC544" s="1073">
        <v>9</v>
      </c>
      <c r="AD544" s="1074"/>
      <c r="AE544" s="1074"/>
      <c r="AF544" s="1074"/>
      <c r="AG544" s="47" t="s">
        <v>248</v>
      </c>
      <c r="AH544" s="1062">
        <v>2027</v>
      </c>
      <c r="AI544" s="1062"/>
      <c r="AJ544" s="1062"/>
      <c r="AK544" s="1063"/>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72"/>
      <c r="C545" s="1373"/>
      <c r="D545" s="1373"/>
      <c r="E545" s="1373"/>
      <c r="F545" s="1373"/>
      <c r="G545" s="1373"/>
      <c r="H545" s="1374"/>
      <c r="I545" s="54" t="s">
        <v>1364</v>
      </c>
      <c r="J545" s="54"/>
      <c r="K545" s="54"/>
      <c r="L545" s="54"/>
      <c r="M545" s="54"/>
      <c r="N545" s="54"/>
      <c r="O545" s="54"/>
      <c r="P545" s="54"/>
      <c r="Q545" s="54"/>
      <c r="R545" s="54"/>
      <c r="S545" s="54"/>
      <c r="T545" s="54"/>
      <c r="U545" s="54"/>
      <c r="V545" s="54"/>
      <c r="W545" s="54"/>
      <c r="X545" s="54"/>
      <c r="Y545" s="54"/>
      <c r="Z545" s="54"/>
      <c r="AA545" s="54"/>
      <c r="AB545" s="54"/>
      <c r="AC545" s="1073">
        <v>10</v>
      </c>
      <c r="AD545" s="1074"/>
      <c r="AE545" s="1074"/>
      <c r="AF545" s="1074"/>
      <c r="AG545" s="47" t="s">
        <v>248</v>
      </c>
      <c r="AH545" s="1062">
        <v>2027</v>
      </c>
      <c r="AI545" s="1062"/>
      <c r="AJ545" s="1062"/>
      <c r="AK545" s="1063"/>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66" t="s">
        <v>2179</v>
      </c>
      <c r="C554" s="1367"/>
      <c r="D554" s="1367"/>
      <c r="E554" s="1367"/>
      <c r="F554" s="1367"/>
      <c r="G554" s="1367"/>
      <c r="H554" s="1367"/>
      <c r="I554" s="1367"/>
      <c r="J554" s="1367"/>
      <c r="K554" s="1367"/>
      <c r="L554" s="1367"/>
      <c r="M554" s="1437" t="s">
        <v>2153</v>
      </c>
      <c r="N554" s="1437"/>
      <c r="O554" s="1437"/>
      <c r="P554" s="1437"/>
      <c r="Q554" s="1366" t="s">
        <v>440</v>
      </c>
      <c r="R554" s="1367"/>
      <c r="S554" s="1368"/>
      <c r="T554" s="1366" t="s">
        <v>1977</v>
      </c>
      <c r="U554" s="1367"/>
      <c r="V554" s="1368"/>
      <c r="W554" s="1366" t="s">
        <v>740</v>
      </c>
      <c r="X554" s="1367"/>
      <c r="Y554" s="1368"/>
      <c r="Z554" s="1366" t="s">
        <v>1979</v>
      </c>
      <c r="AA554" s="1367"/>
      <c r="AB554" s="1367"/>
      <c r="AC554" s="1367"/>
      <c r="AD554" s="1368"/>
      <c r="AE554" s="1366" t="s">
        <v>1978</v>
      </c>
      <c r="AF554" s="1367"/>
      <c r="AG554" s="1367"/>
      <c r="AH554" s="1368"/>
      <c r="AI554" s="1366" t="s">
        <v>1980</v>
      </c>
      <c r="AJ554" s="1367"/>
      <c r="AK554" s="1367"/>
      <c r="AL554" s="1368"/>
      <c r="AM554" s="1366" t="s">
        <v>741</v>
      </c>
      <c r="AN554" s="1367"/>
      <c r="AO554" s="1367"/>
      <c r="AP554" s="1367"/>
      <c r="AQ554" s="1367"/>
      <c r="AR554" s="1367"/>
      <c r="AS554" s="136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9"/>
      <c r="C555" s="1370"/>
      <c r="D555" s="1370"/>
      <c r="E555" s="1370"/>
      <c r="F555" s="1370"/>
      <c r="G555" s="1370"/>
      <c r="H555" s="1370"/>
      <c r="I555" s="1370"/>
      <c r="J555" s="1370"/>
      <c r="K555" s="1370"/>
      <c r="L555" s="1370"/>
      <c r="M555" s="1437"/>
      <c r="N555" s="1437"/>
      <c r="O555" s="1437"/>
      <c r="P555" s="1437"/>
      <c r="Q555" s="1369"/>
      <c r="R555" s="1370"/>
      <c r="S555" s="1371"/>
      <c r="T555" s="1369"/>
      <c r="U555" s="1370"/>
      <c r="V555" s="1371"/>
      <c r="W555" s="1369"/>
      <c r="X555" s="1370"/>
      <c r="Y555" s="1371"/>
      <c r="Z555" s="1369"/>
      <c r="AA555" s="1370"/>
      <c r="AB555" s="1370"/>
      <c r="AC555" s="1370"/>
      <c r="AD555" s="1371"/>
      <c r="AE555" s="1369"/>
      <c r="AF555" s="1370"/>
      <c r="AG555" s="1370"/>
      <c r="AH555" s="1371"/>
      <c r="AI555" s="1369"/>
      <c r="AJ555" s="1370"/>
      <c r="AK555" s="1370"/>
      <c r="AL555" s="1371"/>
      <c r="AM555" s="1369"/>
      <c r="AN555" s="1370"/>
      <c r="AO555" s="1370"/>
      <c r="AP555" s="1370"/>
      <c r="AQ555" s="1370"/>
      <c r="AR555" s="1370"/>
      <c r="AS555" s="137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72"/>
      <c r="C556" s="1373"/>
      <c r="D556" s="1373"/>
      <c r="E556" s="1373"/>
      <c r="F556" s="1373"/>
      <c r="G556" s="1373"/>
      <c r="H556" s="1373"/>
      <c r="I556" s="1373"/>
      <c r="J556" s="1373"/>
      <c r="K556" s="1373"/>
      <c r="L556" s="1373"/>
      <c r="M556" s="1437"/>
      <c r="N556" s="1437"/>
      <c r="O556" s="1437"/>
      <c r="P556" s="1437"/>
      <c r="Q556" s="1372"/>
      <c r="R556" s="1373"/>
      <c r="S556" s="1374"/>
      <c r="T556" s="1372"/>
      <c r="U556" s="1373"/>
      <c r="V556" s="1374"/>
      <c r="W556" s="1372"/>
      <c r="X556" s="1373"/>
      <c r="Y556" s="1374"/>
      <c r="Z556" s="1372"/>
      <c r="AA556" s="1373"/>
      <c r="AB556" s="1373"/>
      <c r="AC556" s="1373"/>
      <c r="AD556" s="1374"/>
      <c r="AE556" s="1372"/>
      <c r="AF556" s="1373"/>
      <c r="AG556" s="1373"/>
      <c r="AH556" s="1374"/>
      <c r="AI556" s="1372"/>
      <c r="AJ556" s="1373"/>
      <c r="AK556" s="1373"/>
      <c r="AL556" s="1374"/>
      <c r="AM556" s="1372"/>
      <c r="AN556" s="1373"/>
      <c r="AO556" s="1373"/>
      <c r="AP556" s="1373"/>
      <c r="AQ556" s="1373"/>
      <c r="AR556" s="1373"/>
      <c r="AS556" s="137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426" t="s">
        <v>2411</v>
      </c>
      <c r="D557" s="1426"/>
      <c r="E557" s="1426"/>
      <c r="F557" s="1426"/>
      <c r="G557" s="1426"/>
      <c r="H557" s="1426"/>
      <c r="I557" s="1426"/>
      <c r="J557" s="1426"/>
      <c r="K557" s="1426"/>
      <c r="L557" s="1426"/>
      <c r="M557" s="1316" t="s">
        <v>2163</v>
      </c>
      <c r="N557" s="1316"/>
      <c r="O557" s="1316"/>
      <c r="P557" s="1316"/>
      <c r="Q557" s="1301">
        <v>24</v>
      </c>
      <c r="R557" s="1301"/>
      <c r="S557" s="1302"/>
      <c r="T557" s="1300">
        <v>24</v>
      </c>
      <c r="U557" s="1301"/>
      <c r="V557" s="1302"/>
      <c r="W557" s="1303">
        <v>7.85E-2</v>
      </c>
      <c r="X557" s="1304"/>
      <c r="Y557" s="1305"/>
      <c r="Z557" s="1306" t="s">
        <v>1965</v>
      </c>
      <c r="AA557" s="1306"/>
      <c r="AB557" s="1306"/>
      <c r="AC557" s="1306"/>
      <c r="AD557" s="1306"/>
      <c r="AE557" s="1311"/>
      <c r="AF557" s="1312"/>
      <c r="AG557" s="1312"/>
      <c r="AH557" s="1313"/>
      <c r="AI557" s="1307"/>
      <c r="AJ557" s="1308"/>
      <c r="AK557" s="1308"/>
      <c r="AL557" s="1309"/>
      <c r="AM557" s="1115">
        <v>20556503</v>
      </c>
      <c r="AN557" s="1116"/>
      <c r="AO557" s="1116"/>
      <c r="AP557" s="1116"/>
      <c r="AQ557" s="1116"/>
      <c r="AR557" s="1116"/>
      <c r="AS557" s="111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426" t="s">
        <v>2412</v>
      </c>
      <c r="D558" s="1426"/>
      <c r="E558" s="1426"/>
      <c r="F558" s="1426"/>
      <c r="G558" s="1426"/>
      <c r="H558" s="1426"/>
      <c r="I558" s="1426"/>
      <c r="J558" s="1426"/>
      <c r="K558" s="1426"/>
      <c r="L558" s="1426"/>
      <c r="M558" s="1316" t="s">
        <v>2160</v>
      </c>
      <c r="N558" s="1316"/>
      <c r="O558" s="1316"/>
      <c r="P558" s="1316"/>
      <c r="Q558" s="1300"/>
      <c r="R558" s="1301"/>
      <c r="S558" s="1302"/>
      <c r="T558" s="1300"/>
      <c r="U558" s="1301"/>
      <c r="V558" s="1302"/>
      <c r="W558" s="1303"/>
      <c r="X558" s="1304"/>
      <c r="Y558" s="1305"/>
      <c r="Z558" s="1306" t="s">
        <v>1965</v>
      </c>
      <c r="AA558" s="1306"/>
      <c r="AB558" s="1306"/>
      <c r="AC558" s="1306"/>
      <c r="AD558" s="1306"/>
      <c r="AE558" s="1311"/>
      <c r="AF558" s="1312"/>
      <c r="AG558" s="1312"/>
      <c r="AH558" s="1313"/>
      <c r="AI558" s="1307"/>
      <c r="AJ558" s="1308"/>
      <c r="AK558" s="1308"/>
      <c r="AL558" s="1309"/>
      <c r="AM558" s="1115">
        <f>+AO643-AM557</f>
        <v>7459267</v>
      </c>
      <c r="AN558" s="1116"/>
      <c r="AO558" s="1116"/>
      <c r="AP558" s="1116"/>
      <c r="AQ558" s="1116"/>
      <c r="AR558" s="1116"/>
      <c r="AS558" s="111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426"/>
      <c r="D559" s="1426"/>
      <c r="E559" s="1426"/>
      <c r="F559" s="1426"/>
      <c r="G559" s="1426"/>
      <c r="H559" s="1426"/>
      <c r="I559" s="1426"/>
      <c r="J559" s="1426"/>
      <c r="K559" s="1426"/>
      <c r="L559" s="1426"/>
      <c r="M559" s="1316" t="s">
        <v>1965</v>
      </c>
      <c r="N559" s="1316"/>
      <c r="O559" s="1316"/>
      <c r="P559" s="1316"/>
      <c r="Q559" s="1300"/>
      <c r="R559" s="1301"/>
      <c r="S559" s="1302"/>
      <c r="T559" s="1300"/>
      <c r="U559" s="1301"/>
      <c r="V559" s="1302"/>
      <c r="W559" s="1303"/>
      <c r="X559" s="1304"/>
      <c r="Y559" s="1305"/>
      <c r="Z559" s="1306" t="s">
        <v>1965</v>
      </c>
      <c r="AA559" s="1306"/>
      <c r="AB559" s="1306"/>
      <c r="AC559" s="1306"/>
      <c r="AD559" s="1306"/>
      <c r="AE559" s="1311"/>
      <c r="AF559" s="1312"/>
      <c r="AG559" s="1312"/>
      <c r="AH559" s="1313"/>
      <c r="AI559" s="1307"/>
      <c r="AJ559" s="1308"/>
      <c r="AK559" s="1308"/>
      <c r="AL559" s="1309"/>
      <c r="AM559" s="1115"/>
      <c r="AN559" s="1116"/>
      <c r="AO559" s="1116"/>
      <c r="AP559" s="1116"/>
      <c r="AQ559" s="1116"/>
      <c r="AR559" s="1116"/>
      <c r="AS559" s="111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426"/>
      <c r="D560" s="1426"/>
      <c r="E560" s="1426"/>
      <c r="F560" s="1426"/>
      <c r="G560" s="1426"/>
      <c r="H560" s="1426"/>
      <c r="I560" s="1426"/>
      <c r="J560" s="1426"/>
      <c r="K560" s="1426"/>
      <c r="L560" s="1426"/>
      <c r="M560" s="1316" t="s">
        <v>1965</v>
      </c>
      <c r="N560" s="1316"/>
      <c r="O560" s="1316"/>
      <c r="P560" s="1316"/>
      <c r="Q560" s="1300"/>
      <c r="R560" s="1301"/>
      <c r="S560" s="1302"/>
      <c r="T560" s="1300"/>
      <c r="U560" s="1301"/>
      <c r="V560" s="1302"/>
      <c r="W560" s="1303"/>
      <c r="X560" s="1304"/>
      <c r="Y560" s="1305"/>
      <c r="Z560" s="1306" t="s">
        <v>1965</v>
      </c>
      <c r="AA560" s="1306"/>
      <c r="AB560" s="1306"/>
      <c r="AC560" s="1306"/>
      <c r="AD560" s="1306"/>
      <c r="AE560" s="1311"/>
      <c r="AF560" s="1312"/>
      <c r="AG560" s="1312"/>
      <c r="AH560" s="1313"/>
      <c r="AI560" s="1307"/>
      <c r="AJ560" s="1308"/>
      <c r="AK560" s="1308"/>
      <c r="AL560" s="1309"/>
      <c r="AM560" s="1115"/>
      <c r="AN560" s="1116"/>
      <c r="AO560" s="1116"/>
      <c r="AP560" s="1116"/>
      <c r="AQ560" s="1116"/>
      <c r="AR560" s="1116"/>
      <c r="AS560" s="111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426"/>
      <c r="D561" s="1426"/>
      <c r="E561" s="1426"/>
      <c r="F561" s="1426"/>
      <c r="G561" s="1426"/>
      <c r="H561" s="1426"/>
      <c r="I561" s="1426"/>
      <c r="J561" s="1426"/>
      <c r="K561" s="1426"/>
      <c r="L561" s="1426"/>
      <c r="M561" s="1316" t="s">
        <v>1965</v>
      </c>
      <c r="N561" s="1316"/>
      <c r="O561" s="1316"/>
      <c r="P561" s="1316"/>
      <c r="Q561" s="1300"/>
      <c r="R561" s="1301"/>
      <c r="S561" s="1302"/>
      <c r="T561" s="1300"/>
      <c r="U561" s="1301"/>
      <c r="V561" s="1302"/>
      <c r="W561" s="1303"/>
      <c r="X561" s="1304"/>
      <c r="Y561" s="1305"/>
      <c r="Z561" s="1306" t="s">
        <v>1965</v>
      </c>
      <c r="AA561" s="1306"/>
      <c r="AB561" s="1306"/>
      <c r="AC561" s="1306"/>
      <c r="AD561" s="1306"/>
      <c r="AE561" s="1311"/>
      <c r="AF561" s="1312"/>
      <c r="AG561" s="1312"/>
      <c r="AH561" s="1313"/>
      <c r="AI561" s="1307"/>
      <c r="AJ561" s="1308"/>
      <c r="AK561" s="1308"/>
      <c r="AL561" s="1309"/>
      <c r="AM561" s="1115"/>
      <c r="AN561" s="1116"/>
      <c r="AO561" s="1116"/>
      <c r="AP561" s="1116"/>
      <c r="AQ561" s="1116"/>
      <c r="AR561" s="1116"/>
      <c r="AS561" s="111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426"/>
      <c r="D562" s="1426"/>
      <c r="E562" s="1426"/>
      <c r="F562" s="1426"/>
      <c r="G562" s="1426"/>
      <c r="H562" s="1426"/>
      <c r="I562" s="1426"/>
      <c r="J562" s="1426"/>
      <c r="K562" s="1426"/>
      <c r="L562" s="1426"/>
      <c r="M562" s="1316" t="s">
        <v>1965</v>
      </c>
      <c r="N562" s="1316"/>
      <c r="O562" s="1316"/>
      <c r="P562" s="1316"/>
      <c r="Q562" s="1300"/>
      <c r="R562" s="1301"/>
      <c r="S562" s="1302"/>
      <c r="T562" s="1300"/>
      <c r="U562" s="1301"/>
      <c r="V562" s="1302"/>
      <c r="W562" s="1303"/>
      <c r="X562" s="1304"/>
      <c r="Y562" s="1305"/>
      <c r="Z562" s="1306" t="s">
        <v>1965</v>
      </c>
      <c r="AA562" s="1306"/>
      <c r="AB562" s="1306"/>
      <c r="AC562" s="1306"/>
      <c r="AD562" s="1306"/>
      <c r="AE562" s="1311"/>
      <c r="AF562" s="1312"/>
      <c r="AG562" s="1312"/>
      <c r="AH562" s="1313"/>
      <c r="AI562" s="1307"/>
      <c r="AJ562" s="1308"/>
      <c r="AK562" s="1308"/>
      <c r="AL562" s="1309"/>
      <c r="AM562" s="1115"/>
      <c r="AN562" s="1116"/>
      <c r="AO562" s="1116"/>
      <c r="AP562" s="1116"/>
      <c r="AQ562" s="1116"/>
      <c r="AR562" s="1116"/>
      <c r="AS562" s="111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426"/>
      <c r="D563" s="1426"/>
      <c r="E563" s="1426"/>
      <c r="F563" s="1426"/>
      <c r="G563" s="1426"/>
      <c r="H563" s="1426"/>
      <c r="I563" s="1426"/>
      <c r="J563" s="1426"/>
      <c r="K563" s="1426"/>
      <c r="L563" s="1426"/>
      <c r="M563" s="1316" t="s">
        <v>1965</v>
      </c>
      <c r="N563" s="1316"/>
      <c r="O563" s="1316"/>
      <c r="P563" s="1316"/>
      <c r="Q563" s="1300"/>
      <c r="R563" s="1301"/>
      <c r="S563" s="1302"/>
      <c r="T563" s="1300"/>
      <c r="U563" s="1301"/>
      <c r="V563" s="1302"/>
      <c r="W563" s="1303"/>
      <c r="X563" s="1304"/>
      <c r="Y563" s="1305"/>
      <c r="Z563" s="1306" t="s">
        <v>1965</v>
      </c>
      <c r="AA563" s="1306"/>
      <c r="AB563" s="1306"/>
      <c r="AC563" s="1306"/>
      <c r="AD563" s="1306"/>
      <c r="AE563" s="1311"/>
      <c r="AF563" s="1312"/>
      <c r="AG563" s="1312"/>
      <c r="AH563" s="1313"/>
      <c r="AI563" s="1307"/>
      <c r="AJ563" s="1308"/>
      <c r="AK563" s="1308"/>
      <c r="AL563" s="1309"/>
      <c r="AM563" s="1115"/>
      <c r="AN563" s="1116"/>
      <c r="AO563" s="1116"/>
      <c r="AP563" s="1116"/>
      <c r="AQ563" s="1116"/>
      <c r="AR563" s="1116"/>
      <c r="AS563" s="111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426"/>
      <c r="D564" s="1426"/>
      <c r="E564" s="1426"/>
      <c r="F564" s="1426"/>
      <c r="G564" s="1426"/>
      <c r="H564" s="1426"/>
      <c r="I564" s="1426"/>
      <c r="J564" s="1426"/>
      <c r="K564" s="1426"/>
      <c r="L564" s="1426"/>
      <c r="M564" s="1316" t="s">
        <v>1965</v>
      </c>
      <c r="N564" s="1316"/>
      <c r="O564" s="1316"/>
      <c r="P564" s="1316"/>
      <c r="Q564" s="1300"/>
      <c r="R564" s="1301"/>
      <c r="S564" s="1302"/>
      <c r="T564" s="1300"/>
      <c r="U564" s="1301"/>
      <c r="V564" s="1302"/>
      <c r="W564" s="1303"/>
      <c r="X564" s="1304"/>
      <c r="Y564" s="1305"/>
      <c r="Z564" s="1306" t="s">
        <v>1965</v>
      </c>
      <c r="AA564" s="1306"/>
      <c r="AB564" s="1306"/>
      <c r="AC564" s="1306"/>
      <c r="AD564" s="1306"/>
      <c r="AE564" s="1311"/>
      <c r="AF564" s="1312"/>
      <c r="AG564" s="1312"/>
      <c r="AH564" s="1313"/>
      <c r="AI564" s="1307"/>
      <c r="AJ564" s="1308"/>
      <c r="AK564" s="1308"/>
      <c r="AL564" s="1309"/>
      <c r="AM564" s="1115"/>
      <c r="AN564" s="1116"/>
      <c r="AO564" s="1116"/>
      <c r="AP564" s="1116"/>
      <c r="AQ564" s="1116"/>
      <c r="AR564" s="1116"/>
      <c r="AS564" s="111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426"/>
      <c r="D565" s="1426"/>
      <c r="E565" s="1426"/>
      <c r="F565" s="1426"/>
      <c r="G565" s="1426"/>
      <c r="H565" s="1426"/>
      <c r="I565" s="1426"/>
      <c r="J565" s="1426"/>
      <c r="K565" s="1426"/>
      <c r="L565" s="1426"/>
      <c r="M565" s="1316" t="s">
        <v>1965</v>
      </c>
      <c r="N565" s="1316"/>
      <c r="O565" s="1316"/>
      <c r="P565" s="1316"/>
      <c r="Q565" s="1300"/>
      <c r="R565" s="1301"/>
      <c r="S565" s="1302"/>
      <c r="T565" s="1300"/>
      <c r="U565" s="1301"/>
      <c r="V565" s="1302"/>
      <c r="W565" s="1303"/>
      <c r="X565" s="1304"/>
      <c r="Y565" s="1305"/>
      <c r="Z565" s="1306" t="s">
        <v>1965</v>
      </c>
      <c r="AA565" s="1306"/>
      <c r="AB565" s="1306"/>
      <c r="AC565" s="1306"/>
      <c r="AD565" s="1306"/>
      <c r="AE565" s="1311"/>
      <c r="AF565" s="1312"/>
      <c r="AG565" s="1312"/>
      <c r="AH565" s="1313"/>
      <c r="AI565" s="1307"/>
      <c r="AJ565" s="1308"/>
      <c r="AK565" s="1308"/>
      <c r="AL565" s="1309"/>
      <c r="AM565" s="1115"/>
      <c r="AN565" s="1116"/>
      <c r="AO565" s="1116"/>
      <c r="AP565" s="1116"/>
      <c r="AQ565" s="1116"/>
      <c r="AR565" s="1116"/>
      <c r="AS565" s="111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426"/>
      <c r="D566" s="1426"/>
      <c r="E566" s="1426"/>
      <c r="F566" s="1426"/>
      <c r="G566" s="1426"/>
      <c r="H566" s="1426"/>
      <c r="I566" s="1426"/>
      <c r="J566" s="1426"/>
      <c r="K566" s="1426"/>
      <c r="L566" s="1426"/>
      <c r="M566" s="1316" t="s">
        <v>1965</v>
      </c>
      <c r="N566" s="1316"/>
      <c r="O566" s="1316"/>
      <c r="P566" s="1316"/>
      <c r="Q566" s="1300"/>
      <c r="R566" s="1301"/>
      <c r="S566" s="1302"/>
      <c r="T566" s="1300"/>
      <c r="U566" s="1301"/>
      <c r="V566" s="1302"/>
      <c r="W566" s="1303"/>
      <c r="X566" s="1304"/>
      <c r="Y566" s="1305"/>
      <c r="Z566" s="1306" t="s">
        <v>1965</v>
      </c>
      <c r="AA566" s="1306"/>
      <c r="AB566" s="1306"/>
      <c r="AC566" s="1306"/>
      <c r="AD566" s="1306"/>
      <c r="AE566" s="1311"/>
      <c r="AF566" s="1312"/>
      <c r="AG566" s="1312"/>
      <c r="AH566" s="1313"/>
      <c r="AI566" s="1307"/>
      <c r="AJ566" s="1308"/>
      <c r="AK566" s="1308"/>
      <c r="AL566" s="1309"/>
      <c r="AM566" s="1115"/>
      <c r="AN566" s="1116"/>
      <c r="AO566" s="1116"/>
      <c r="AP566" s="1116"/>
      <c r="AQ566" s="1116"/>
      <c r="AR566" s="1116"/>
      <c r="AS566" s="111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426"/>
      <c r="D567" s="1426"/>
      <c r="E567" s="1426"/>
      <c r="F567" s="1426"/>
      <c r="G567" s="1426"/>
      <c r="H567" s="1426"/>
      <c r="I567" s="1426"/>
      <c r="J567" s="1426"/>
      <c r="K567" s="1426"/>
      <c r="L567" s="1426"/>
      <c r="M567" s="1316" t="s">
        <v>1965</v>
      </c>
      <c r="N567" s="1316"/>
      <c r="O567" s="1316"/>
      <c r="P567" s="1316"/>
      <c r="Q567" s="1300"/>
      <c r="R567" s="1301"/>
      <c r="S567" s="1302"/>
      <c r="T567" s="1300"/>
      <c r="U567" s="1301"/>
      <c r="V567" s="1302"/>
      <c r="W567" s="1303"/>
      <c r="X567" s="1304"/>
      <c r="Y567" s="1305"/>
      <c r="Z567" s="1306" t="s">
        <v>1965</v>
      </c>
      <c r="AA567" s="1306"/>
      <c r="AB567" s="1306"/>
      <c r="AC567" s="1306"/>
      <c r="AD567" s="1306"/>
      <c r="AE567" s="1311"/>
      <c r="AF567" s="1312"/>
      <c r="AG567" s="1312"/>
      <c r="AH567" s="1313"/>
      <c r="AI567" s="1307"/>
      <c r="AJ567" s="1308"/>
      <c r="AK567" s="1308"/>
      <c r="AL567" s="1309"/>
      <c r="AM567" s="1115"/>
      <c r="AN567" s="1116"/>
      <c r="AO567" s="1116"/>
      <c r="AP567" s="1116"/>
      <c r="AQ567" s="1116"/>
      <c r="AR567" s="1116"/>
      <c r="AS567" s="111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426"/>
      <c r="D568" s="1426"/>
      <c r="E568" s="1426"/>
      <c r="F568" s="1426"/>
      <c r="G568" s="1426"/>
      <c r="H568" s="1426"/>
      <c r="I568" s="1426"/>
      <c r="J568" s="1426"/>
      <c r="K568" s="1426"/>
      <c r="L568" s="1426"/>
      <c r="M568" s="1316" t="s">
        <v>1965</v>
      </c>
      <c r="N568" s="1316"/>
      <c r="O568" s="1316"/>
      <c r="P568" s="1316"/>
      <c r="Q568" s="1300"/>
      <c r="R568" s="1301"/>
      <c r="S568" s="1302"/>
      <c r="T568" s="1300"/>
      <c r="U568" s="1301"/>
      <c r="V568" s="1302"/>
      <c r="W568" s="1303"/>
      <c r="X568" s="1304"/>
      <c r="Y568" s="1305"/>
      <c r="Z568" s="1306" t="s">
        <v>1965</v>
      </c>
      <c r="AA568" s="1306"/>
      <c r="AB568" s="1306"/>
      <c r="AC568" s="1306"/>
      <c r="AD568" s="1306"/>
      <c r="AE568" s="1311"/>
      <c r="AF568" s="1312"/>
      <c r="AG568" s="1312"/>
      <c r="AH568" s="1313"/>
      <c r="AI568" s="1307"/>
      <c r="AJ568" s="1308"/>
      <c r="AK568" s="1308"/>
      <c r="AL568" s="1309"/>
      <c r="AM568" s="1115"/>
      <c r="AN568" s="1116"/>
      <c r="AO568" s="1116"/>
      <c r="AP568" s="1116"/>
      <c r="AQ568" s="1116"/>
      <c r="AR568" s="1116"/>
      <c r="AS568" s="111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208" t="s">
        <v>357</v>
      </c>
      <c r="C569" s="1209"/>
      <c r="D569" s="1209"/>
      <c r="E569" s="1209"/>
      <c r="F569" s="1209"/>
      <c r="G569" s="1209"/>
      <c r="H569" s="1209"/>
      <c r="I569" s="1209"/>
      <c r="J569" s="1209"/>
      <c r="K569" s="1209"/>
      <c r="L569" s="1209"/>
      <c r="M569" s="1209"/>
      <c r="N569" s="1209"/>
      <c r="O569" s="1209"/>
      <c r="P569" s="1209"/>
      <c r="Q569" s="1209"/>
      <c r="R569" s="1209"/>
      <c r="S569" s="1209"/>
      <c r="T569" s="1209"/>
      <c r="U569" s="1310"/>
      <c r="V569" s="1209"/>
      <c r="W569" s="1209"/>
      <c r="X569" s="1209"/>
      <c r="Y569" s="1209"/>
      <c r="Z569" s="1209"/>
      <c r="AA569" s="1209"/>
      <c r="AB569" s="1209"/>
      <c r="AC569" s="1209"/>
      <c r="AD569" s="1209"/>
      <c r="AE569" s="1209"/>
      <c r="AF569" s="1209"/>
      <c r="AG569" s="1209"/>
      <c r="AH569" s="1209"/>
      <c r="AI569" s="1209"/>
      <c r="AJ569" s="1209"/>
      <c r="AK569" s="1209"/>
      <c r="AL569" s="1210"/>
      <c r="AM569" s="1219">
        <f>SUM(AM557:AS568)</f>
        <v>28015770</v>
      </c>
      <c r="AN569" s="1220"/>
      <c r="AO569" s="1220"/>
      <c r="AP569" s="1220"/>
      <c r="AQ569" s="1220"/>
      <c r="AR569" s="1220"/>
      <c r="AS569" s="122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088" t="str">
        <f>C557</f>
        <v xml:space="preserve">Citi Bank Construction Loan </v>
      </c>
      <c r="H571" s="1088"/>
      <c r="I571" s="1088"/>
      <c r="J571" s="1088"/>
      <c r="K571" s="1088"/>
      <c r="L571" s="1088"/>
      <c r="M571" s="1088"/>
      <c r="N571" s="1088"/>
      <c r="O571" s="1088"/>
      <c r="P571" s="1088"/>
      <c r="Q571" s="1088"/>
      <c r="R571" s="1088"/>
      <c r="S571" s="12"/>
      <c r="T571" s="61" t="s">
        <v>901</v>
      </c>
      <c r="U571" t="s">
        <v>82</v>
      </c>
      <c r="Z571" s="1088" t="str">
        <f>C558</f>
        <v>Boston Financial Equity</v>
      </c>
      <c r="AA571" s="1088"/>
      <c r="AB571" s="1088"/>
      <c r="AC571" s="1088"/>
      <c r="AD571" s="1088"/>
      <c r="AE571" s="1088"/>
      <c r="AF571" s="1088"/>
      <c r="AG571" s="1088"/>
      <c r="AH571" s="1088"/>
      <c r="AI571" s="1088"/>
      <c r="AJ571" s="1088"/>
      <c r="AK571" s="108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87" t="s">
        <v>2413</v>
      </c>
      <c r="H572" s="1087"/>
      <c r="I572" s="1087"/>
      <c r="J572" s="1087"/>
      <c r="K572" s="1087"/>
      <c r="L572" s="1087"/>
      <c r="M572" s="1087"/>
      <c r="N572" s="1087"/>
      <c r="O572" s="1087"/>
      <c r="P572" s="1087"/>
      <c r="Q572" s="1087"/>
      <c r="R572" s="1087"/>
      <c r="S572" s="12"/>
      <c r="T572" s="4"/>
      <c r="U572" t="s">
        <v>372</v>
      </c>
      <c r="Z572" s="1087" t="s">
        <v>2390</v>
      </c>
      <c r="AA572" s="1087"/>
      <c r="AB572" s="1087"/>
      <c r="AC572" s="1087"/>
      <c r="AD572" s="1087"/>
      <c r="AE572" s="1087"/>
      <c r="AF572" s="1087"/>
      <c r="AG572" s="1087"/>
      <c r="AH572" s="1087"/>
      <c r="AI572" s="1087"/>
      <c r="AJ572" s="1087"/>
      <c r="AK572" s="10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87" t="s">
        <v>2414</v>
      </c>
      <c r="H573" s="1087"/>
      <c r="I573" s="1087"/>
      <c r="J573" s="1087"/>
      <c r="K573" s="1087"/>
      <c r="L573" s="1087"/>
      <c r="M573" s="1087"/>
      <c r="N573" s="1087"/>
      <c r="O573" s="1087"/>
      <c r="P573" s="1087"/>
      <c r="Q573" s="1087"/>
      <c r="R573" s="1087"/>
      <c r="T573" s="4"/>
      <c r="U573" t="s">
        <v>430</v>
      </c>
      <c r="Z573" s="1085" t="s">
        <v>2391</v>
      </c>
      <c r="AA573" s="1085"/>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87" t="s">
        <v>2415</v>
      </c>
      <c r="H574" s="1087"/>
      <c r="I574" s="1087"/>
      <c r="J574" s="1087"/>
      <c r="K574" s="1087"/>
      <c r="L574" s="1087"/>
      <c r="M574" s="1087"/>
      <c r="N574" s="1087"/>
      <c r="O574" s="1087"/>
      <c r="P574" s="1087"/>
      <c r="Q574" s="1087"/>
      <c r="R574" s="1087"/>
      <c r="S574" s="12"/>
      <c r="T574" s="4"/>
      <c r="U574" t="s">
        <v>833</v>
      </c>
      <c r="Z574" s="1085" t="s">
        <v>2418</v>
      </c>
      <c r="AA574" s="1085"/>
      <c r="AB574" s="1085"/>
      <c r="AC574" s="1085"/>
      <c r="AD574" s="1085"/>
      <c r="AE574" s="1085"/>
      <c r="AF574" s="1085"/>
      <c r="AG574" s="1085"/>
      <c r="AH574" s="1085"/>
      <c r="AI574" s="1085"/>
      <c r="AJ574" s="1085"/>
      <c r="AK574" s="108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284" t="s">
        <v>2416</v>
      </c>
      <c r="H575" s="1284"/>
      <c r="I575" s="1284"/>
      <c r="J575" s="1284"/>
      <c r="K575" s="1284"/>
      <c r="L575" s="1284"/>
      <c r="O575" s="42" t="s">
        <v>818</v>
      </c>
      <c r="P575" s="1086"/>
      <c r="Q575" s="1086"/>
      <c r="R575" s="1086"/>
      <c r="S575" s="14"/>
      <c r="T575" s="4"/>
      <c r="U575" t="s">
        <v>650</v>
      </c>
      <c r="Z575" s="1284" t="s">
        <v>2393</v>
      </c>
      <c r="AA575" s="1284"/>
      <c r="AB575" s="1284"/>
      <c r="AC575" s="1284"/>
      <c r="AD575" s="1284"/>
      <c r="AE575" s="1284"/>
      <c r="AH575" s="42" t="s">
        <v>818</v>
      </c>
      <c r="AI575" s="1086"/>
      <c r="AJ575" s="1086"/>
      <c r="AK575" s="108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087" t="s">
        <v>2417</v>
      </c>
      <c r="I576" s="1087"/>
      <c r="J576" s="1087"/>
      <c r="K576" s="1087"/>
      <c r="L576" s="1087"/>
      <c r="M576" s="1087"/>
      <c r="N576" s="1087"/>
      <c r="O576" s="1087"/>
      <c r="P576" s="1087"/>
      <c r="Q576" s="1087"/>
      <c r="R576" s="1087"/>
      <c r="S576" s="12"/>
      <c r="T576" s="4"/>
      <c r="U576" t="s">
        <v>834</v>
      </c>
      <c r="AA576" s="1087" t="s">
        <v>2419</v>
      </c>
      <c r="AB576" s="1087"/>
      <c r="AC576" s="1087"/>
      <c r="AD576" s="1087"/>
      <c r="AE576" s="1087"/>
      <c r="AF576" s="1087"/>
      <c r="AG576" s="1087"/>
      <c r="AH576" s="1087"/>
      <c r="AI576" s="1087"/>
      <c r="AJ576" s="1087"/>
      <c r="AK576" s="108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084" t="s">
        <v>108</v>
      </c>
      <c r="O577" s="1084"/>
      <c r="T577" s="4"/>
      <c r="U577" t="s">
        <v>836</v>
      </c>
      <c r="AG577" s="1084" t="s">
        <v>108</v>
      </c>
      <c r="AH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088">
        <f>C559</f>
        <v>0</v>
      </c>
      <c r="H579" s="1088"/>
      <c r="I579" s="1088"/>
      <c r="J579" s="1088"/>
      <c r="K579" s="1088"/>
      <c r="L579" s="1088"/>
      <c r="M579" s="1088"/>
      <c r="N579" s="1088"/>
      <c r="O579" s="1088"/>
      <c r="P579" s="1088"/>
      <c r="Q579" s="1088"/>
      <c r="R579" s="1088"/>
      <c r="T579" s="61" t="s">
        <v>431</v>
      </c>
      <c r="U579" t="s">
        <v>82</v>
      </c>
      <c r="Z579" s="1088">
        <f>C560</f>
        <v>0</v>
      </c>
      <c r="AA579" s="1088"/>
      <c r="AB579" s="1088"/>
      <c r="AC579" s="1088"/>
      <c r="AD579" s="1088"/>
      <c r="AE579" s="1088"/>
      <c r="AF579" s="1088"/>
      <c r="AG579" s="1088"/>
      <c r="AH579" s="1088"/>
      <c r="AI579" s="1088"/>
      <c r="AJ579" s="1088"/>
      <c r="AK579" s="108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87"/>
      <c r="H580" s="1087"/>
      <c r="I580" s="1087"/>
      <c r="J580" s="1087"/>
      <c r="K580" s="1087"/>
      <c r="L580" s="1087"/>
      <c r="M580" s="1087"/>
      <c r="N580" s="1087"/>
      <c r="O580" s="1087"/>
      <c r="P580" s="1087"/>
      <c r="Q580" s="1087"/>
      <c r="R580" s="1087"/>
      <c r="T580" s="4"/>
      <c r="U580" t="s">
        <v>372</v>
      </c>
      <c r="Z580" s="1087"/>
      <c r="AA580" s="1087"/>
      <c r="AB580" s="1087"/>
      <c r="AC580" s="1087"/>
      <c r="AD580" s="1087"/>
      <c r="AE580" s="1087"/>
      <c r="AF580" s="1087"/>
      <c r="AG580" s="1087"/>
      <c r="AH580" s="1087"/>
      <c r="AI580" s="1087"/>
      <c r="AJ580" s="1087"/>
      <c r="AK580" s="10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85"/>
      <c r="H581" s="1085"/>
      <c r="I581" s="1085"/>
      <c r="J581" s="1085"/>
      <c r="K581" s="1085"/>
      <c r="L581" s="1085"/>
      <c r="M581" s="1085"/>
      <c r="N581" s="1085"/>
      <c r="O581" s="1085"/>
      <c r="P581" s="1085"/>
      <c r="Q581" s="1085"/>
      <c r="R581" s="1085"/>
      <c r="T581" s="4"/>
      <c r="U581" t="s">
        <v>430</v>
      </c>
      <c r="Z581" s="1085"/>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85"/>
      <c r="H582" s="1085"/>
      <c r="I582" s="1085"/>
      <c r="J582" s="1085"/>
      <c r="K582" s="1085"/>
      <c r="L582" s="1085"/>
      <c r="M582" s="1085"/>
      <c r="N582" s="1085"/>
      <c r="O582" s="1085"/>
      <c r="P582" s="1085"/>
      <c r="Q582" s="1085"/>
      <c r="R582" s="1085"/>
      <c r="T582" s="4"/>
      <c r="U582" t="s">
        <v>833</v>
      </c>
      <c r="Z582" s="1085"/>
      <c r="AA582" s="1085"/>
      <c r="AB582" s="1085"/>
      <c r="AC582" s="1085"/>
      <c r="AD582" s="1085"/>
      <c r="AE582" s="1085"/>
      <c r="AF582" s="1085"/>
      <c r="AG582" s="1085"/>
      <c r="AH582" s="1085"/>
      <c r="AI582" s="1085"/>
      <c r="AJ582" s="1085"/>
      <c r="AK582" s="108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284"/>
      <c r="H583" s="1284"/>
      <c r="I583" s="1284"/>
      <c r="J583" s="1284"/>
      <c r="K583" s="1284"/>
      <c r="L583" s="1284"/>
      <c r="O583" s="42" t="s">
        <v>818</v>
      </c>
      <c r="P583" s="1086"/>
      <c r="Q583" s="1086"/>
      <c r="R583" s="1086"/>
      <c r="T583" s="4"/>
      <c r="U583" t="s">
        <v>650</v>
      </c>
      <c r="Z583" s="1284"/>
      <c r="AA583" s="1284"/>
      <c r="AB583" s="1284"/>
      <c r="AC583" s="1284"/>
      <c r="AD583" s="1284"/>
      <c r="AE583" s="1284"/>
      <c r="AH583" s="42" t="s">
        <v>818</v>
      </c>
      <c r="AI583" s="1086"/>
      <c r="AJ583" s="1086"/>
      <c r="AK583" s="108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087"/>
      <c r="I584" s="1087"/>
      <c r="J584" s="1087"/>
      <c r="K584" s="1087"/>
      <c r="L584" s="1087"/>
      <c r="M584" s="1087"/>
      <c r="N584" s="1087"/>
      <c r="O584" s="1087"/>
      <c r="P584" s="1087"/>
      <c r="Q584" s="1087"/>
      <c r="R584" s="1087"/>
      <c r="T584" s="4"/>
      <c r="U584" t="s">
        <v>834</v>
      </c>
      <c r="AA584" s="1087"/>
      <c r="AB584" s="1087"/>
      <c r="AC584" s="1087"/>
      <c r="AD584" s="1087"/>
      <c r="AE584" s="1087"/>
      <c r="AF584" s="1087"/>
      <c r="AG584" s="1087"/>
      <c r="AH584" s="1087"/>
      <c r="AI584" s="1087"/>
      <c r="AJ584" s="1087"/>
      <c r="AK584" s="108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093" t="s">
        <v>482</v>
      </c>
      <c r="O585" s="1093"/>
      <c r="T585" s="4"/>
      <c r="U585" t="s">
        <v>836</v>
      </c>
      <c r="AG585" s="1093" t="s">
        <v>482</v>
      </c>
      <c r="AH585" s="109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088">
        <f>C561</f>
        <v>0</v>
      </c>
      <c r="H587" s="1088"/>
      <c r="I587" s="1088"/>
      <c r="J587" s="1088"/>
      <c r="K587" s="1088"/>
      <c r="L587" s="1088"/>
      <c r="M587" s="1088"/>
      <c r="N587" s="1088"/>
      <c r="O587" s="1088"/>
      <c r="P587" s="1088"/>
      <c r="Q587" s="1088"/>
      <c r="R587" s="1088"/>
      <c r="T587" s="61" t="s">
        <v>434</v>
      </c>
      <c r="U587" t="s">
        <v>82</v>
      </c>
      <c r="Z587" s="1088">
        <f>C562</f>
        <v>0</v>
      </c>
      <c r="AA587" s="1088"/>
      <c r="AB587" s="1088"/>
      <c r="AC587" s="1088"/>
      <c r="AD587" s="1088"/>
      <c r="AE587" s="1088"/>
      <c r="AF587" s="1088"/>
      <c r="AG587" s="1088"/>
      <c r="AH587" s="1088"/>
      <c r="AI587" s="1088"/>
      <c r="AJ587" s="1088"/>
      <c r="AK587" s="108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87"/>
      <c r="H588" s="1087"/>
      <c r="I588" s="1087"/>
      <c r="J588" s="1087"/>
      <c r="K588" s="1087"/>
      <c r="L588" s="1087"/>
      <c r="M588" s="1087"/>
      <c r="N588" s="1087"/>
      <c r="O588" s="1087"/>
      <c r="P588" s="1087"/>
      <c r="Q588" s="1087"/>
      <c r="R588" s="1087"/>
      <c r="T588" s="4"/>
      <c r="U588" t="s">
        <v>372</v>
      </c>
      <c r="Z588" s="1087"/>
      <c r="AA588" s="1087"/>
      <c r="AB588" s="1087"/>
      <c r="AC588" s="1087"/>
      <c r="AD588" s="1087"/>
      <c r="AE588" s="1087"/>
      <c r="AF588" s="1087"/>
      <c r="AG588" s="1087"/>
      <c r="AH588" s="1087"/>
      <c r="AI588" s="1087"/>
      <c r="AJ588" s="1087"/>
      <c r="AK588" s="108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87"/>
      <c r="H589" s="1087"/>
      <c r="I589" s="1087"/>
      <c r="J589" s="1087"/>
      <c r="K589" s="1087"/>
      <c r="L589" s="1087"/>
      <c r="M589" s="1087"/>
      <c r="N589" s="1087"/>
      <c r="O589" s="1087"/>
      <c r="P589" s="1087"/>
      <c r="Q589" s="1087"/>
      <c r="R589" s="1087"/>
      <c r="T589" s="4"/>
      <c r="U589" t="s">
        <v>430</v>
      </c>
      <c r="Z589" s="1085"/>
      <c r="AA589" s="1085"/>
      <c r="AB589" s="1085"/>
      <c r="AC589" s="1085"/>
      <c r="AD589" s="1085"/>
      <c r="AE589" s="1085"/>
      <c r="AF589" s="1085"/>
      <c r="AG589" s="1085"/>
      <c r="AH589" s="1085"/>
      <c r="AI589" s="1085"/>
      <c r="AJ589" s="1085"/>
      <c r="AK589" s="108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087"/>
      <c r="H590" s="1087"/>
      <c r="I590" s="1087"/>
      <c r="J590" s="1087"/>
      <c r="K590" s="1087"/>
      <c r="L590" s="1087"/>
      <c r="M590" s="1087"/>
      <c r="N590" s="1087"/>
      <c r="O590" s="1087"/>
      <c r="P590" s="1087"/>
      <c r="Q590" s="1087"/>
      <c r="R590" s="1087"/>
      <c r="T590" s="4"/>
      <c r="U590" t="s">
        <v>833</v>
      </c>
      <c r="Z590" s="1085"/>
      <c r="AA590" s="1085"/>
      <c r="AB590" s="1085"/>
      <c r="AC590" s="1085"/>
      <c r="AD590" s="1085"/>
      <c r="AE590" s="1085"/>
      <c r="AF590" s="1085"/>
      <c r="AG590" s="1085"/>
      <c r="AH590" s="1085"/>
      <c r="AI590" s="1085"/>
      <c r="AJ590" s="1085"/>
      <c r="AK590" s="108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284"/>
      <c r="H591" s="1284"/>
      <c r="I591" s="1284"/>
      <c r="J591" s="1284"/>
      <c r="K591" s="1284"/>
      <c r="L591" s="1284"/>
      <c r="O591" s="42" t="s">
        <v>818</v>
      </c>
      <c r="P591" s="1086"/>
      <c r="Q591" s="1086"/>
      <c r="R591" s="1086"/>
      <c r="T591" s="4"/>
      <c r="U591" t="s">
        <v>650</v>
      </c>
      <c r="Z591" s="1284"/>
      <c r="AA591" s="1284"/>
      <c r="AB591" s="1284"/>
      <c r="AC591" s="1284"/>
      <c r="AD591" s="1284"/>
      <c r="AE591" s="1284"/>
      <c r="AH591" s="42" t="s">
        <v>818</v>
      </c>
      <c r="AI591" s="1086"/>
      <c r="AJ591" s="1086"/>
      <c r="AK591" s="108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087"/>
      <c r="I592" s="1087"/>
      <c r="J592" s="1087"/>
      <c r="K592" s="1087"/>
      <c r="L592" s="1087"/>
      <c r="M592" s="1087"/>
      <c r="N592" s="1087"/>
      <c r="O592" s="1087"/>
      <c r="P592" s="1087"/>
      <c r="Q592" s="1087"/>
      <c r="R592" s="1087"/>
      <c r="T592" s="4"/>
      <c r="U592" t="s">
        <v>834</v>
      </c>
      <c r="AA592" s="1087"/>
      <c r="AB592" s="1087"/>
      <c r="AC592" s="1087"/>
      <c r="AD592" s="1087"/>
      <c r="AE592" s="1087"/>
      <c r="AF592" s="1087"/>
      <c r="AG592" s="1087"/>
      <c r="AH592" s="1087"/>
      <c r="AI592" s="1087"/>
      <c r="AJ592" s="1087"/>
      <c r="AK592" s="108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093" t="s">
        <v>482</v>
      </c>
      <c r="O593" s="1093"/>
      <c r="T593" s="4"/>
      <c r="U593" t="s">
        <v>836</v>
      </c>
      <c r="AG593" s="1093" t="s">
        <v>482</v>
      </c>
      <c r="AH593" s="109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088">
        <f>C563</f>
        <v>0</v>
      </c>
      <c r="H595" s="1088"/>
      <c r="I595" s="1088"/>
      <c r="J595" s="1088"/>
      <c r="K595" s="1088"/>
      <c r="L595" s="1088"/>
      <c r="M595" s="1088"/>
      <c r="N595" s="1088"/>
      <c r="O595" s="1088"/>
      <c r="P595" s="1088"/>
      <c r="Q595" s="1088"/>
      <c r="R595" s="1088"/>
      <c r="T595" s="61" t="s">
        <v>743</v>
      </c>
      <c r="U595" t="s">
        <v>82</v>
      </c>
      <c r="Z595" s="1088">
        <f>C564</f>
        <v>0</v>
      </c>
      <c r="AA595" s="1088"/>
      <c r="AB595" s="1088"/>
      <c r="AC595" s="1088"/>
      <c r="AD595" s="1088"/>
      <c r="AE595" s="1088"/>
      <c r="AF595" s="1088"/>
      <c r="AG595" s="1088"/>
      <c r="AH595" s="1088"/>
      <c r="AI595" s="1088"/>
      <c r="AJ595" s="1088"/>
      <c r="AK595" s="108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87"/>
      <c r="H596" s="1087"/>
      <c r="I596" s="1087"/>
      <c r="J596" s="1087"/>
      <c r="K596" s="1087"/>
      <c r="L596" s="1087"/>
      <c r="M596" s="1087"/>
      <c r="N596" s="1087"/>
      <c r="O596" s="1087"/>
      <c r="P596" s="1087"/>
      <c r="Q596" s="1087"/>
      <c r="R596" s="1087"/>
      <c r="T596" s="4"/>
      <c r="U596" t="s">
        <v>372</v>
      </c>
      <c r="Z596" s="1087"/>
      <c r="AA596" s="1087"/>
      <c r="AB596" s="1087"/>
      <c r="AC596" s="1087"/>
      <c r="AD596" s="1087"/>
      <c r="AE596" s="1087"/>
      <c r="AF596" s="1087"/>
      <c r="AG596" s="1087"/>
      <c r="AH596" s="1087"/>
      <c r="AI596" s="1087"/>
      <c r="AJ596" s="1087"/>
      <c r="AK596" s="108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87"/>
      <c r="H597" s="1087"/>
      <c r="I597" s="1087"/>
      <c r="J597" s="1087"/>
      <c r="K597" s="1087"/>
      <c r="L597" s="1087"/>
      <c r="M597" s="1087"/>
      <c r="N597" s="1087"/>
      <c r="O597" s="1087"/>
      <c r="P597" s="1087"/>
      <c r="Q597" s="1087"/>
      <c r="R597" s="1087"/>
      <c r="S597"/>
      <c r="T597" s="4"/>
      <c r="U597" t="s">
        <v>430</v>
      </c>
      <c r="V597"/>
      <c r="W597"/>
      <c r="X597"/>
      <c r="Y597"/>
      <c r="Z597" s="1085"/>
      <c r="AA597" s="1085"/>
      <c r="AB597" s="1085"/>
      <c r="AC597" s="1085"/>
      <c r="AD597" s="1085"/>
      <c r="AE597" s="1085"/>
      <c r="AF597" s="1085"/>
      <c r="AG597" s="1085"/>
      <c r="AH597" s="1085"/>
      <c r="AI597" s="1085"/>
      <c r="AJ597" s="1085"/>
      <c r="AK597" s="108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87"/>
      <c r="H598" s="1087"/>
      <c r="I598" s="1087"/>
      <c r="J598" s="1087"/>
      <c r="K598" s="1087"/>
      <c r="L598" s="1087"/>
      <c r="M598" s="1087"/>
      <c r="N598" s="1087"/>
      <c r="O598" s="1087"/>
      <c r="P598" s="1087"/>
      <c r="Q598" s="1087"/>
      <c r="R598" s="1087"/>
      <c r="S598"/>
      <c r="T598" s="4"/>
      <c r="U598" t="s">
        <v>833</v>
      </c>
      <c r="V598"/>
      <c r="W598"/>
      <c r="X598"/>
      <c r="Y598"/>
      <c r="Z598" s="1085"/>
      <c r="AA598" s="1085"/>
      <c r="AB598" s="1085"/>
      <c r="AC598" s="1085"/>
      <c r="AD598" s="1085"/>
      <c r="AE598" s="1085"/>
      <c r="AF598" s="1085"/>
      <c r="AG598" s="1085"/>
      <c r="AH598" s="1085"/>
      <c r="AI598" s="1085"/>
      <c r="AJ598" s="1085"/>
      <c r="AK598" s="108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284"/>
      <c r="H599" s="1284"/>
      <c r="I599" s="1284"/>
      <c r="J599" s="1284"/>
      <c r="K599" s="1284"/>
      <c r="L599" s="1284"/>
      <c r="M599"/>
      <c r="N599"/>
      <c r="O599" s="42" t="s">
        <v>818</v>
      </c>
      <c r="P599" s="1086"/>
      <c r="Q599" s="1086"/>
      <c r="R599" s="1086"/>
      <c r="S599"/>
      <c r="T599" s="4"/>
      <c r="U599" t="s">
        <v>650</v>
      </c>
      <c r="V599"/>
      <c r="W599"/>
      <c r="X599"/>
      <c r="Y599"/>
      <c r="Z599" s="1284"/>
      <c r="AA599" s="1284"/>
      <c r="AB599" s="1284"/>
      <c r="AC599" s="1284"/>
      <c r="AD599" s="1284"/>
      <c r="AE599" s="1284"/>
      <c r="AF599"/>
      <c r="AG599"/>
      <c r="AH599" s="42" t="s">
        <v>818</v>
      </c>
      <c r="AI599" s="1086"/>
      <c r="AJ599" s="1086"/>
      <c r="AK599" s="1086"/>
      <c r="AL599"/>
      <c r="AZ599" s="5" t="s">
        <v>441</v>
      </c>
      <c r="BA599" s="41"/>
      <c r="BB599" s="41"/>
      <c r="BC599" s="41"/>
      <c r="BD599" s="41"/>
      <c r="BE599" s="212" t="s">
        <v>351</v>
      </c>
      <c r="BF599" s="213"/>
      <c r="BG599" s="1285"/>
      <c r="BH599" s="1287"/>
      <c r="BI599" s="212" t="s">
        <v>352</v>
      </c>
      <c r="BJ599" s="213"/>
      <c r="BK599" s="1285"/>
      <c r="BL599" s="1287"/>
      <c r="BN599" s="1285">
        <f>IF(B703="SRO/Studio",G703,0)</f>
        <v>10</v>
      </c>
      <c r="BO599" s="1286"/>
      <c r="BP599" s="1286"/>
      <c r="BQ599" s="1286"/>
      <c r="BR599" s="1296"/>
      <c r="BS599" s="1285">
        <f>IF(B703="1 Bedroom",G703,0)</f>
        <v>0</v>
      </c>
      <c r="BT599" s="1286"/>
      <c r="BU599" s="1286"/>
      <c r="BV599" s="1286"/>
      <c r="BW599" s="1287"/>
      <c r="BX599" s="1285">
        <f>IF(B703="2 Bedrooms",G703,0)</f>
        <v>0</v>
      </c>
      <c r="BY599" s="1286"/>
      <c r="BZ599" s="1286"/>
      <c r="CA599" s="1286"/>
      <c r="CB599" s="1287"/>
      <c r="CC599" s="1285">
        <f>IF(B703="3 Bedrooms",G703,0)</f>
        <v>0</v>
      </c>
      <c r="CD599" s="1286"/>
      <c r="CE599" s="1286"/>
      <c r="CF599" s="1286"/>
      <c r="CG599" s="1287"/>
      <c r="CH599" s="1285">
        <f>IF(B703="4 Bedrooms",G703,0)</f>
        <v>0</v>
      </c>
      <c r="CI599" s="1286"/>
      <c r="CJ599" s="1286"/>
      <c r="CK599" s="1286"/>
      <c r="CL599" s="1287"/>
      <c r="CM599" s="1294">
        <f>IF(B703="5 Bedrooms",G703,0)</f>
        <v>0</v>
      </c>
      <c r="CN599" s="1295"/>
      <c r="CO599" s="1295"/>
      <c r="CP599" s="1295"/>
      <c r="CQ599" s="1296"/>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087"/>
      <c r="I600" s="1087"/>
      <c r="J600" s="1087"/>
      <c r="K600" s="1087"/>
      <c r="L600" s="1087"/>
      <c r="M600" s="1087"/>
      <c r="N600" s="1087"/>
      <c r="O600" s="1087"/>
      <c r="P600" s="1087"/>
      <c r="Q600" s="1087"/>
      <c r="R600" s="1087"/>
      <c r="S600"/>
      <c r="T600" s="4"/>
      <c r="U600" t="s">
        <v>834</v>
      </c>
      <c r="V600"/>
      <c r="W600"/>
      <c r="X600"/>
      <c r="Y600"/>
      <c r="Z600"/>
      <c r="AA600" s="1087"/>
      <c r="AB600" s="1087"/>
      <c r="AC600" s="1087"/>
      <c r="AD600" s="1087"/>
      <c r="AE600" s="1087"/>
      <c r="AF600" s="1087"/>
      <c r="AG600" s="1087"/>
      <c r="AH600" s="1087"/>
      <c r="AI600" s="1087"/>
      <c r="AJ600" s="1087"/>
      <c r="AK600" s="1087"/>
      <c r="AL600"/>
      <c r="AZ600" s="5" t="s">
        <v>442</v>
      </c>
      <c r="BA600" s="41"/>
      <c r="BB600" s="41"/>
      <c r="BC600" s="41"/>
      <c r="BD600" s="41"/>
      <c r="BE600" s="1291">
        <f>IF(AND(AH703&lt;=0.5,AH703&gt;=0.36),1,0)</f>
        <v>0</v>
      </c>
      <c r="BF600" s="1293"/>
      <c r="BG600" s="1285">
        <f t="shared" ref="BG600:BG623" si="1">IF(BE600=1,G703,0)</f>
        <v>0</v>
      </c>
      <c r="BH600" s="1287"/>
      <c r="BI600" s="1291">
        <f>IF(AND(AH703&lt;=0.35,AH703&gt;0),1,0)</f>
        <v>1</v>
      </c>
      <c r="BJ600" s="1293"/>
      <c r="BK600" s="1285">
        <f t="shared" ref="BK600:BK623" si="2">IF(BI600=1,G703,0)</f>
        <v>10</v>
      </c>
      <c r="BL600" s="1287"/>
      <c r="BN600" s="1285">
        <f t="shared" ref="BN600:BN633" si="3">IF(B704="SRO/Studio",G704,0)</f>
        <v>4</v>
      </c>
      <c r="BO600" s="1286"/>
      <c r="BP600" s="1286"/>
      <c r="BQ600" s="1286"/>
      <c r="BR600" s="1296"/>
      <c r="BS600" s="1285">
        <f t="shared" ref="BS600:BS633" si="4">IF(B704="1 Bedroom",G704,0)</f>
        <v>0</v>
      </c>
      <c r="BT600" s="1286"/>
      <c r="BU600" s="1286"/>
      <c r="BV600" s="1286"/>
      <c r="BW600" s="1287"/>
      <c r="BX600" s="1285">
        <f t="shared" ref="BX600:BX633" si="5">IF(B704="2 Bedrooms",G704,0)</f>
        <v>0</v>
      </c>
      <c r="BY600" s="1286"/>
      <c r="BZ600" s="1286"/>
      <c r="CA600" s="1286"/>
      <c r="CB600" s="1287"/>
      <c r="CC600" s="1285">
        <f t="shared" ref="CC600:CC633" si="6">IF(B704="3 Bedrooms",G704,0)</f>
        <v>0</v>
      </c>
      <c r="CD600" s="1286"/>
      <c r="CE600" s="1286"/>
      <c r="CF600" s="1286"/>
      <c r="CG600" s="1287"/>
      <c r="CH600" s="1285">
        <f t="shared" ref="CH600:CH633" si="7">IF(B704="4 Bedrooms",G704,0)</f>
        <v>0</v>
      </c>
      <c r="CI600" s="1286"/>
      <c r="CJ600" s="1286"/>
      <c r="CK600" s="1286"/>
      <c r="CL600" s="1287"/>
      <c r="CM600" s="1294">
        <f t="shared" ref="CM600:CM633" si="8">IF(B704="5 Bedrooms",G704,0)</f>
        <v>0</v>
      </c>
      <c r="CN600" s="1295"/>
      <c r="CO600" s="1295"/>
      <c r="CP600" s="1295"/>
      <c r="CQ600" s="1296"/>
      <c r="CS600" s="1297">
        <f>IF(AND(B703="SRO/Studio",AH703&lt;=0.3),G703,0)</f>
        <v>10</v>
      </c>
      <c r="CT600" s="1298"/>
      <c r="CU600" s="1298"/>
      <c r="CV600" s="1298"/>
      <c r="CW600" s="1299"/>
      <c r="CX600" s="1297">
        <f>IF(AND(B703="1 Bedroom",AH703&lt;=0.3),G703,0)</f>
        <v>0</v>
      </c>
      <c r="CY600" s="1298"/>
      <c r="CZ600" s="1298"/>
      <c r="DA600" s="1298"/>
      <c r="DB600" s="1299"/>
      <c r="DC600" s="1297">
        <f>IF(AND(B703="2 Bedrooms",AH703&lt;=0.3),G703,0)</f>
        <v>0</v>
      </c>
      <c r="DD600" s="1298"/>
      <c r="DE600" s="1298"/>
      <c r="DF600" s="1298"/>
      <c r="DG600" s="1299"/>
      <c r="DH600" s="1297">
        <f>IF(AND(B703="3 Bedrooms",AH703&lt;=0.3),G703,0)</f>
        <v>0</v>
      </c>
      <c r="DI600" s="1298"/>
      <c r="DJ600" s="1298"/>
      <c r="DK600" s="1298"/>
      <c r="DL600" s="1299"/>
      <c r="DM600" s="1297">
        <f>IF(AND(B703="4 Bedrooms",AH703&lt;=0.3),G703,0)</f>
        <v>0</v>
      </c>
      <c r="DN600" s="1298"/>
      <c r="DO600" s="1298"/>
      <c r="DP600" s="1298"/>
      <c r="DQ600" s="1299"/>
      <c r="DR600" s="1297">
        <f>IF(AND(B703="5 Bedrooms",AH703&lt;=0.3),G703,0)</f>
        <v>0</v>
      </c>
      <c r="DS600" s="1298"/>
      <c r="DT600" s="1298"/>
      <c r="DU600" s="1298"/>
      <c r="DV600" s="1299"/>
    </row>
    <row r="601" spans="1:126" s="5" customFormat="1" ht="12.95" customHeight="1">
      <c r="A601" s="4"/>
      <c r="B601" t="s">
        <v>836</v>
      </c>
      <c r="C601"/>
      <c r="D601"/>
      <c r="E601"/>
      <c r="F601"/>
      <c r="G601"/>
      <c r="H601"/>
      <c r="I601"/>
      <c r="J601"/>
      <c r="K601"/>
      <c r="L601"/>
      <c r="M601"/>
      <c r="N601" s="1093" t="s">
        <v>482</v>
      </c>
      <c r="O601" s="1093"/>
      <c r="P601"/>
      <c r="Q601"/>
      <c r="R601"/>
      <c r="S601"/>
      <c r="T601" s="4"/>
      <c r="U601" t="s">
        <v>836</v>
      </c>
      <c r="V601"/>
      <c r="W601"/>
      <c r="X601"/>
      <c r="Y601"/>
      <c r="Z601"/>
      <c r="AA601"/>
      <c r="AB601"/>
      <c r="AC601"/>
      <c r="AD601"/>
      <c r="AE601"/>
      <c r="AF601"/>
      <c r="AG601" s="1093" t="s">
        <v>482</v>
      </c>
      <c r="AH601" s="1093"/>
      <c r="AI601"/>
      <c r="AJ601"/>
      <c r="AK601"/>
      <c r="AL601"/>
      <c r="AZ601" s="5" t="s">
        <v>780</v>
      </c>
      <c r="BA601" s="41"/>
      <c r="BB601" s="41"/>
      <c r="BC601" s="41"/>
      <c r="BD601" s="41"/>
      <c r="BE601" s="1291">
        <f t="shared" ref="BE601:BE623" si="9">IF(AND(AH704&lt;=0.5,AH704&gt;=0.36),1,0)</f>
        <v>0</v>
      </c>
      <c r="BF601" s="1293"/>
      <c r="BG601" s="1285">
        <f t="shared" si="1"/>
        <v>0</v>
      </c>
      <c r="BH601" s="1287"/>
      <c r="BI601" s="1291">
        <f t="shared" ref="BI601:BI623" si="10">IF(AND(AH704&lt;=0.35,AH704&gt;0),1,0)</f>
        <v>1</v>
      </c>
      <c r="BJ601" s="1293"/>
      <c r="BK601" s="1285">
        <f t="shared" si="2"/>
        <v>4</v>
      </c>
      <c r="BL601" s="1287"/>
      <c r="BN601" s="1285">
        <f t="shared" si="3"/>
        <v>4</v>
      </c>
      <c r="BO601" s="1286"/>
      <c r="BP601" s="1286"/>
      <c r="BQ601" s="1286"/>
      <c r="BR601" s="1296"/>
      <c r="BS601" s="1285">
        <f t="shared" si="4"/>
        <v>0</v>
      </c>
      <c r="BT601" s="1286"/>
      <c r="BU601" s="1286"/>
      <c r="BV601" s="1286"/>
      <c r="BW601" s="1287"/>
      <c r="BX601" s="1285">
        <f t="shared" si="5"/>
        <v>0</v>
      </c>
      <c r="BY601" s="1286"/>
      <c r="BZ601" s="1286"/>
      <c r="CA601" s="1286"/>
      <c r="CB601" s="1287"/>
      <c r="CC601" s="1285">
        <f t="shared" si="6"/>
        <v>0</v>
      </c>
      <c r="CD601" s="1286"/>
      <c r="CE601" s="1286"/>
      <c r="CF601" s="1286"/>
      <c r="CG601" s="1287"/>
      <c r="CH601" s="1285">
        <f t="shared" si="7"/>
        <v>0</v>
      </c>
      <c r="CI601" s="1286"/>
      <c r="CJ601" s="1286"/>
      <c r="CK601" s="1286"/>
      <c r="CL601" s="1287"/>
      <c r="CM601" s="1294">
        <f t="shared" si="8"/>
        <v>0</v>
      </c>
      <c r="CN601" s="1295"/>
      <c r="CO601" s="1295"/>
      <c r="CP601" s="1295"/>
      <c r="CQ601" s="1296"/>
      <c r="CS601" s="1297">
        <f t="shared" ref="CS601:CS623" si="11">IF(AND(B704="SRO/Studio",AH704&lt;=0.3),G704,0)</f>
        <v>4</v>
      </c>
      <c r="CT601" s="1298"/>
      <c r="CU601" s="1298"/>
      <c r="CV601" s="1298"/>
      <c r="CW601" s="1299"/>
      <c r="CX601" s="1297">
        <f t="shared" ref="CX601:CX623" si="12">IF(AND(B704="1 Bedroom",AH704&lt;=0.3),G704,0)</f>
        <v>0</v>
      </c>
      <c r="CY601" s="1298"/>
      <c r="CZ601" s="1298"/>
      <c r="DA601" s="1298"/>
      <c r="DB601" s="1299"/>
      <c r="DC601" s="1297">
        <f t="shared" ref="DC601:DC623" si="13">IF(AND(B704="2 Bedrooms",AH704&lt;=0.3),G704,0)</f>
        <v>0</v>
      </c>
      <c r="DD601" s="1298"/>
      <c r="DE601" s="1298"/>
      <c r="DF601" s="1298"/>
      <c r="DG601" s="1299"/>
      <c r="DH601" s="1297">
        <f t="shared" ref="DH601:DH623" si="14">IF(AND(B704="3 Bedrooms",AH704&lt;=0.3),G704,0)</f>
        <v>0</v>
      </c>
      <c r="DI601" s="1298"/>
      <c r="DJ601" s="1298"/>
      <c r="DK601" s="1298"/>
      <c r="DL601" s="1299"/>
      <c r="DM601" s="1297">
        <f t="shared" ref="DM601:DM623" si="15">IF(AND(B704="4 Bedrooms",AH704&lt;=0.3),G704,0)</f>
        <v>0</v>
      </c>
      <c r="DN601" s="1298"/>
      <c r="DO601" s="1298"/>
      <c r="DP601" s="1298"/>
      <c r="DQ601" s="1299"/>
      <c r="DR601" s="1297">
        <f t="shared" ref="DR601:DR623" si="16">IF(AND(B704="5 Bedrooms",AH704&lt;=0.3),G704,0)</f>
        <v>0</v>
      </c>
      <c r="DS601" s="1298"/>
      <c r="DT601" s="1298"/>
      <c r="DU601" s="1298"/>
      <c r="DV601" s="1299"/>
    </row>
    <row r="602" spans="1:126" ht="12.95" customHeight="1">
      <c r="C602"/>
      <c r="AZ602" s="5" t="s">
        <v>781</v>
      </c>
      <c r="BA602" s="41"/>
      <c r="BB602" s="41"/>
      <c r="BC602" s="41"/>
      <c r="BD602" s="41"/>
      <c r="BE602" s="1291">
        <f t="shared" si="9"/>
        <v>1</v>
      </c>
      <c r="BF602" s="1293"/>
      <c r="BG602" s="1285">
        <f t="shared" si="1"/>
        <v>4</v>
      </c>
      <c r="BH602" s="1287"/>
      <c r="BI602" s="1291">
        <f t="shared" si="10"/>
        <v>0</v>
      </c>
      <c r="BJ602" s="1293"/>
      <c r="BK602" s="1285">
        <f t="shared" si="2"/>
        <v>0</v>
      </c>
      <c r="BL602" s="1287"/>
      <c r="BN602" s="1285">
        <f t="shared" si="3"/>
        <v>0</v>
      </c>
      <c r="BO602" s="1286"/>
      <c r="BP602" s="1286"/>
      <c r="BQ602" s="1286"/>
      <c r="BR602" s="1296"/>
      <c r="BS602" s="1285">
        <f t="shared" si="4"/>
        <v>11</v>
      </c>
      <c r="BT602" s="1286"/>
      <c r="BU602" s="1286"/>
      <c r="BV602" s="1286"/>
      <c r="BW602" s="1287"/>
      <c r="BX602" s="1285">
        <f t="shared" si="5"/>
        <v>0</v>
      </c>
      <c r="BY602" s="1286"/>
      <c r="BZ602" s="1286"/>
      <c r="CA602" s="1286"/>
      <c r="CB602" s="1287"/>
      <c r="CC602" s="1285">
        <f t="shared" si="6"/>
        <v>0</v>
      </c>
      <c r="CD602" s="1286"/>
      <c r="CE602" s="1286"/>
      <c r="CF602" s="1286"/>
      <c r="CG602" s="1287"/>
      <c r="CH602" s="1285">
        <f t="shared" si="7"/>
        <v>0</v>
      </c>
      <c r="CI602" s="1286"/>
      <c r="CJ602" s="1286"/>
      <c r="CK602" s="1286"/>
      <c r="CL602" s="1287"/>
      <c r="CM602" s="1294">
        <f t="shared" si="8"/>
        <v>0</v>
      </c>
      <c r="CN602" s="1295"/>
      <c r="CO602" s="1295"/>
      <c r="CP602" s="1295"/>
      <c r="CQ602" s="1296"/>
      <c r="CS602" s="1297">
        <f t="shared" si="11"/>
        <v>0</v>
      </c>
      <c r="CT602" s="1298"/>
      <c r="CU602" s="1298"/>
      <c r="CV602" s="1298"/>
      <c r="CW602" s="1299"/>
      <c r="CX602" s="1297">
        <f t="shared" si="12"/>
        <v>0</v>
      </c>
      <c r="CY602" s="1298"/>
      <c r="CZ602" s="1298"/>
      <c r="DA602" s="1298"/>
      <c r="DB602" s="1299"/>
      <c r="DC602" s="1297">
        <f t="shared" si="13"/>
        <v>0</v>
      </c>
      <c r="DD602" s="1298"/>
      <c r="DE602" s="1298"/>
      <c r="DF602" s="1298"/>
      <c r="DG602" s="1299"/>
      <c r="DH602" s="1297">
        <f t="shared" si="14"/>
        <v>0</v>
      </c>
      <c r="DI602" s="1298"/>
      <c r="DJ602" s="1298"/>
      <c r="DK602" s="1298"/>
      <c r="DL602" s="1299"/>
      <c r="DM602" s="1297">
        <f t="shared" si="15"/>
        <v>0</v>
      </c>
      <c r="DN602" s="1298"/>
      <c r="DO602" s="1298"/>
      <c r="DP602" s="1298"/>
      <c r="DQ602" s="1299"/>
      <c r="DR602" s="1297">
        <f t="shared" si="16"/>
        <v>0</v>
      </c>
      <c r="DS602" s="1298"/>
      <c r="DT602" s="1298"/>
      <c r="DU602" s="1298"/>
      <c r="DV602" s="1299"/>
    </row>
    <row r="603" spans="1:126" ht="12.95" customHeight="1">
      <c r="A603" s="61" t="s">
        <v>546</v>
      </c>
      <c r="B603" t="s">
        <v>82</v>
      </c>
      <c r="C603"/>
      <c r="G603" s="1088">
        <f>C565</f>
        <v>0</v>
      </c>
      <c r="H603" s="1088"/>
      <c r="I603" s="1088"/>
      <c r="J603" s="1088"/>
      <c r="K603" s="1088"/>
      <c r="L603" s="1088"/>
      <c r="M603" s="1088"/>
      <c r="N603" s="1088"/>
      <c r="O603" s="1088"/>
      <c r="P603" s="1088"/>
      <c r="Q603" s="1088"/>
      <c r="R603" s="1088"/>
      <c r="T603" s="61" t="s">
        <v>174</v>
      </c>
      <c r="U603" t="s">
        <v>82</v>
      </c>
      <c r="Z603" s="1088">
        <f>C566</f>
        <v>0</v>
      </c>
      <c r="AA603" s="1088"/>
      <c r="AB603" s="1088"/>
      <c r="AC603" s="1088"/>
      <c r="AD603" s="1088"/>
      <c r="AE603" s="1088"/>
      <c r="AF603" s="1088"/>
      <c r="AG603" s="1088"/>
      <c r="AH603" s="1088"/>
      <c r="AI603" s="1088"/>
      <c r="AJ603" s="1088"/>
      <c r="AK603" s="1088"/>
      <c r="AZ603" s="5" t="s">
        <v>782</v>
      </c>
      <c r="BA603" s="41"/>
      <c r="BB603" s="41"/>
      <c r="BC603" s="41"/>
      <c r="BD603" s="41"/>
      <c r="BE603" s="1291">
        <f t="shared" si="9"/>
        <v>0</v>
      </c>
      <c r="BF603" s="1293"/>
      <c r="BG603" s="1285">
        <f t="shared" si="1"/>
        <v>0</v>
      </c>
      <c r="BH603" s="1287"/>
      <c r="BI603" s="1291">
        <f t="shared" si="10"/>
        <v>1</v>
      </c>
      <c r="BJ603" s="1293"/>
      <c r="BK603" s="1285">
        <f t="shared" si="2"/>
        <v>11</v>
      </c>
      <c r="BL603" s="1287"/>
      <c r="BN603" s="1285">
        <f t="shared" si="3"/>
        <v>0</v>
      </c>
      <c r="BO603" s="1286"/>
      <c r="BP603" s="1286"/>
      <c r="BQ603" s="1286"/>
      <c r="BR603" s="1296"/>
      <c r="BS603" s="1285">
        <f t="shared" si="4"/>
        <v>9</v>
      </c>
      <c r="BT603" s="1286"/>
      <c r="BU603" s="1286"/>
      <c r="BV603" s="1286"/>
      <c r="BW603" s="1287"/>
      <c r="BX603" s="1285">
        <f t="shared" si="5"/>
        <v>0</v>
      </c>
      <c r="BY603" s="1286"/>
      <c r="BZ603" s="1286"/>
      <c r="CA603" s="1286"/>
      <c r="CB603" s="1287"/>
      <c r="CC603" s="1285">
        <f t="shared" si="6"/>
        <v>0</v>
      </c>
      <c r="CD603" s="1286"/>
      <c r="CE603" s="1286"/>
      <c r="CF603" s="1286"/>
      <c r="CG603" s="1287"/>
      <c r="CH603" s="1285">
        <f t="shared" si="7"/>
        <v>0</v>
      </c>
      <c r="CI603" s="1286"/>
      <c r="CJ603" s="1286"/>
      <c r="CK603" s="1286"/>
      <c r="CL603" s="1287"/>
      <c r="CM603" s="1294">
        <f t="shared" si="8"/>
        <v>0</v>
      </c>
      <c r="CN603" s="1295"/>
      <c r="CO603" s="1295"/>
      <c r="CP603" s="1295"/>
      <c r="CQ603" s="1296"/>
      <c r="CS603" s="1297">
        <f t="shared" si="11"/>
        <v>0</v>
      </c>
      <c r="CT603" s="1298"/>
      <c r="CU603" s="1298"/>
      <c r="CV603" s="1298"/>
      <c r="CW603" s="1299"/>
      <c r="CX603" s="1297">
        <f t="shared" si="12"/>
        <v>11</v>
      </c>
      <c r="CY603" s="1298"/>
      <c r="CZ603" s="1298"/>
      <c r="DA603" s="1298"/>
      <c r="DB603" s="1299"/>
      <c r="DC603" s="1297">
        <f t="shared" si="13"/>
        <v>0</v>
      </c>
      <c r="DD603" s="1298"/>
      <c r="DE603" s="1298"/>
      <c r="DF603" s="1298"/>
      <c r="DG603" s="1299"/>
      <c r="DH603" s="1297">
        <f t="shared" si="14"/>
        <v>0</v>
      </c>
      <c r="DI603" s="1298"/>
      <c r="DJ603" s="1298"/>
      <c r="DK603" s="1298"/>
      <c r="DL603" s="1299"/>
      <c r="DM603" s="1297">
        <f t="shared" si="15"/>
        <v>0</v>
      </c>
      <c r="DN603" s="1298"/>
      <c r="DO603" s="1298"/>
      <c r="DP603" s="1298"/>
      <c r="DQ603" s="1299"/>
      <c r="DR603" s="1297">
        <f t="shared" si="16"/>
        <v>0</v>
      </c>
      <c r="DS603" s="1298"/>
      <c r="DT603" s="1298"/>
      <c r="DU603" s="1298"/>
      <c r="DV603" s="1299"/>
    </row>
    <row r="604" spans="1:126" ht="12.95" customHeight="1">
      <c r="A604" s="4"/>
      <c r="B604" t="s">
        <v>372</v>
      </c>
      <c r="C604"/>
      <c r="G604" s="1087"/>
      <c r="H604" s="1087"/>
      <c r="I604" s="1087"/>
      <c r="J604" s="1087"/>
      <c r="K604" s="1087"/>
      <c r="L604" s="1087"/>
      <c r="M604" s="1087"/>
      <c r="N604" s="1087"/>
      <c r="O604" s="1087"/>
      <c r="P604" s="1087"/>
      <c r="Q604" s="1087"/>
      <c r="R604" s="1087"/>
      <c r="T604" s="4"/>
      <c r="U604" t="s">
        <v>372</v>
      </c>
      <c r="Z604" s="1087"/>
      <c r="AA604" s="1087"/>
      <c r="AB604" s="1087"/>
      <c r="AC604" s="1087"/>
      <c r="AD604" s="1087"/>
      <c r="AE604" s="1087"/>
      <c r="AF604" s="1087"/>
      <c r="AG604" s="1087"/>
      <c r="AH604" s="1087"/>
      <c r="AI604" s="1087"/>
      <c r="AJ604" s="1087"/>
      <c r="AK604" s="1087"/>
      <c r="AZ604" s="5" t="s">
        <v>344</v>
      </c>
      <c r="BA604" s="41"/>
      <c r="BB604" s="41"/>
      <c r="BC604" s="41"/>
      <c r="BD604" s="41"/>
      <c r="BE604" s="1291">
        <f t="shared" si="9"/>
        <v>0</v>
      </c>
      <c r="BF604" s="1293"/>
      <c r="BG604" s="1285">
        <f t="shared" si="1"/>
        <v>0</v>
      </c>
      <c r="BH604" s="1287"/>
      <c r="BI604" s="1291">
        <f t="shared" si="10"/>
        <v>1</v>
      </c>
      <c r="BJ604" s="1293"/>
      <c r="BK604" s="1285">
        <f t="shared" si="2"/>
        <v>9</v>
      </c>
      <c r="BL604" s="1287"/>
      <c r="BN604" s="1285">
        <f t="shared" si="3"/>
        <v>0</v>
      </c>
      <c r="BO604" s="1286"/>
      <c r="BP604" s="1286"/>
      <c r="BQ604" s="1286"/>
      <c r="BR604" s="1296"/>
      <c r="BS604" s="1285">
        <f t="shared" si="4"/>
        <v>5</v>
      </c>
      <c r="BT604" s="1286"/>
      <c r="BU604" s="1286"/>
      <c r="BV604" s="1286"/>
      <c r="BW604" s="1287"/>
      <c r="BX604" s="1285">
        <f t="shared" si="5"/>
        <v>0</v>
      </c>
      <c r="BY604" s="1286"/>
      <c r="BZ604" s="1286"/>
      <c r="CA604" s="1286"/>
      <c r="CB604" s="1287"/>
      <c r="CC604" s="1285">
        <f t="shared" si="6"/>
        <v>0</v>
      </c>
      <c r="CD604" s="1286"/>
      <c r="CE604" s="1286"/>
      <c r="CF604" s="1286"/>
      <c r="CG604" s="1287"/>
      <c r="CH604" s="1285">
        <f t="shared" si="7"/>
        <v>0</v>
      </c>
      <c r="CI604" s="1286"/>
      <c r="CJ604" s="1286"/>
      <c r="CK604" s="1286"/>
      <c r="CL604" s="1287"/>
      <c r="CM604" s="1294">
        <f t="shared" si="8"/>
        <v>0</v>
      </c>
      <c r="CN604" s="1295"/>
      <c r="CO604" s="1295"/>
      <c r="CP604" s="1295"/>
      <c r="CQ604" s="1296"/>
      <c r="CS604" s="1297">
        <f t="shared" si="11"/>
        <v>0</v>
      </c>
      <c r="CT604" s="1298"/>
      <c r="CU604" s="1298"/>
      <c r="CV604" s="1298"/>
      <c r="CW604" s="1299"/>
      <c r="CX604" s="1297">
        <f t="shared" si="12"/>
        <v>9</v>
      </c>
      <c r="CY604" s="1298"/>
      <c r="CZ604" s="1298"/>
      <c r="DA604" s="1298"/>
      <c r="DB604" s="1299"/>
      <c r="DC604" s="1297">
        <f t="shared" si="13"/>
        <v>0</v>
      </c>
      <c r="DD604" s="1298"/>
      <c r="DE604" s="1298"/>
      <c r="DF604" s="1298"/>
      <c r="DG604" s="1299"/>
      <c r="DH604" s="1297">
        <f t="shared" si="14"/>
        <v>0</v>
      </c>
      <c r="DI604" s="1298"/>
      <c r="DJ604" s="1298"/>
      <c r="DK604" s="1298"/>
      <c r="DL604" s="1299"/>
      <c r="DM604" s="1297">
        <f t="shared" si="15"/>
        <v>0</v>
      </c>
      <c r="DN604" s="1298"/>
      <c r="DO604" s="1298"/>
      <c r="DP604" s="1298"/>
      <c r="DQ604" s="1299"/>
      <c r="DR604" s="1297">
        <f t="shared" si="16"/>
        <v>0</v>
      </c>
      <c r="DS604" s="1298"/>
      <c r="DT604" s="1298"/>
      <c r="DU604" s="1298"/>
      <c r="DV604" s="1299"/>
    </row>
    <row r="605" spans="1:126" ht="12.95" customHeight="1">
      <c r="A605" s="4"/>
      <c r="B605" t="s">
        <v>430</v>
      </c>
      <c r="C605"/>
      <c r="G605" s="1087"/>
      <c r="H605" s="1087"/>
      <c r="I605" s="1087"/>
      <c r="J605" s="1087"/>
      <c r="K605" s="1087"/>
      <c r="L605" s="1087"/>
      <c r="M605" s="1087"/>
      <c r="N605" s="1087"/>
      <c r="O605" s="1087"/>
      <c r="P605" s="1087"/>
      <c r="Q605" s="1087"/>
      <c r="R605" s="1087"/>
      <c r="T605" s="4"/>
      <c r="U605" t="s">
        <v>430</v>
      </c>
      <c r="Z605" s="1085"/>
      <c r="AA605" s="1085"/>
      <c r="AB605" s="1085"/>
      <c r="AC605" s="1085"/>
      <c r="AD605" s="1085"/>
      <c r="AE605" s="1085"/>
      <c r="AF605" s="1085"/>
      <c r="AG605" s="1085"/>
      <c r="AH605" s="1085"/>
      <c r="AI605" s="1085"/>
      <c r="AJ605" s="1085"/>
      <c r="AK605" s="1085"/>
      <c r="AZ605" s="41"/>
      <c r="BA605" s="41"/>
      <c r="BB605" s="41"/>
      <c r="BC605" s="41"/>
      <c r="BD605" s="41"/>
      <c r="BE605" s="1291">
        <f t="shared" si="9"/>
        <v>1</v>
      </c>
      <c r="BF605" s="1293"/>
      <c r="BG605" s="1285">
        <f t="shared" si="1"/>
        <v>5</v>
      </c>
      <c r="BH605" s="1287"/>
      <c r="BI605" s="1291">
        <f t="shared" si="10"/>
        <v>0</v>
      </c>
      <c r="BJ605" s="1293"/>
      <c r="BK605" s="1285">
        <f t="shared" si="2"/>
        <v>0</v>
      </c>
      <c r="BL605" s="1287"/>
      <c r="BN605" s="1285">
        <f t="shared" si="3"/>
        <v>0</v>
      </c>
      <c r="BO605" s="1286"/>
      <c r="BP605" s="1286"/>
      <c r="BQ605" s="1286"/>
      <c r="BR605" s="1296"/>
      <c r="BS605" s="1285">
        <f t="shared" si="4"/>
        <v>0</v>
      </c>
      <c r="BT605" s="1286"/>
      <c r="BU605" s="1286"/>
      <c r="BV605" s="1286"/>
      <c r="BW605" s="1287"/>
      <c r="BX605" s="1285">
        <f t="shared" si="5"/>
        <v>1</v>
      </c>
      <c r="BY605" s="1286"/>
      <c r="BZ605" s="1286"/>
      <c r="CA605" s="1286"/>
      <c r="CB605" s="1287"/>
      <c r="CC605" s="1285">
        <f t="shared" si="6"/>
        <v>0</v>
      </c>
      <c r="CD605" s="1286"/>
      <c r="CE605" s="1286"/>
      <c r="CF605" s="1286"/>
      <c r="CG605" s="1287"/>
      <c r="CH605" s="1285">
        <f t="shared" si="7"/>
        <v>0</v>
      </c>
      <c r="CI605" s="1286"/>
      <c r="CJ605" s="1286"/>
      <c r="CK605" s="1286"/>
      <c r="CL605" s="1287"/>
      <c r="CM605" s="1294">
        <f t="shared" si="8"/>
        <v>0</v>
      </c>
      <c r="CN605" s="1295"/>
      <c r="CO605" s="1295"/>
      <c r="CP605" s="1295"/>
      <c r="CQ605" s="1296"/>
      <c r="CS605" s="1297">
        <f t="shared" si="11"/>
        <v>0</v>
      </c>
      <c r="CT605" s="1298"/>
      <c r="CU605" s="1298"/>
      <c r="CV605" s="1298"/>
      <c r="CW605" s="1299"/>
      <c r="CX605" s="1297">
        <f t="shared" si="12"/>
        <v>0</v>
      </c>
      <c r="CY605" s="1298"/>
      <c r="CZ605" s="1298"/>
      <c r="DA605" s="1298"/>
      <c r="DB605" s="1299"/>
      <c r="DC605" s="1297">
        <f t="shared" si="13"/>
        <v>0</v>
      </c>
      <c r="DD605" s="1298"/>
      <c r="DE605" s="1298"/>
      <c r="DF605" s="1298"/>
      <c r="DG605" s="1299"/>
      <c r="DH605" s="1297">
        <f t="shared" si="14"/>
        <v>0</v>
      </c>
      <c r="DI605" s="1298"/>
      <c r="DJ605" s="1298"/>
      <c r="DK605" s="1298"/>
      <c r="DL605" s="1299"/>
      <c r="DM605" s="1297">
        <f t="shared" si="15"/>
        <v>0</v>
      </c>
      <c r="DN605" s="1298"/>
      <c r="DO605" s="1298"/>
      <c r="DP605" s="1298"/>
      <c r="DQ605" s="1299"/>
      <c r="DR605" s="1297">
        <f t="shared" si="16"/>
        <v>0</v>
      </c>
      <c r="DS605" s="1298"/>
      <c r="DT605" s="1298"/>
      <c r="DU605" s="1298"/>
      <c r="DV605" s="1299"/>
    </row>
    <row r="606" spans="1:126" ht="12.95" customHeight="1">
      <c r="A606" s="4"/>
      <c r="B606" t="s">
        <v>833</v>
      </c>
      <c r="C606"/>
      <c r="G606" s="1087"/>
      <c r="H606" s="1087"/>
      <c r="I606" s="1087"/>
      <c r="J606" s="1087"/>
      <c r="K606" s="1087"/>
      <c r="L606" s="1087"/>
      <c r="M606" s="1087"/>
      <c r="N606" s="1087"/>
      <c r="O606" s="1087"/>
      <c r="P606" s="1087"/>
      <c r="Q606" s="1087"/>
      <c r="R606" s="1087"/>
      <c r="T606" s="4"/>
      <c r="U606" t="s">
        <v>833</v>
      </c>
      <c r="Z606" s="1085"/>
      <c r="AA606" s="1085"/>
      <c r="AB606" s="1085"/>
      <c r="AC606" s="1085"/>
      <c r="AD606" s="1085"/>
      <c r="AE606" s="1085"/>
      <c r="AF606" s="1085"/>
      <c r="AG606" s="1085"/>
      <c r="AH606" s="1085"/>
      <c r="AI606" s="1085"/>
      <c r="AJ606" s="1085"/>
      <c r="AK606" s="1085"/>
      <c r="AZ606" s="41"/>
      <c r="BA606" s="41"/>
      <c r="BB606" s="41"/>
      <c r="BC606" s="41"/>
      <c r="BD606" s="41"/>
      <c r="BE606" s="1291">
        <f t="shared" si="9"/>
        <v>0</v>
      </c>
      <c r="BF606" s="1293"/>
      <c r="BG606" s="1285">
        <f t="shared" si="1"/>
        <v>0</v>
      </c>
      <c r="BH606" s="1287"/>
      <c r="BI606" s="1291">
        <f t="shared" si="10"/>
        <v>1</v>
      </c>
      <c r="BJ606" s="1293"/>
      <c r="BK606" s="1285">
        <f t="shared" si="2"/>
        <v>1</v>
      </c>
      <c r="BL606" s="1287"/>
      <c r="BN606" s="1285">
        <f t="shared" si="3"/>
        <v>0</v>
      </c>
      <c r="BO606" s="1286"/>
      <c r="BP606" s="1286"/>
      <c r="BQ606" s="1286"/>
      <c r="BR606" s="1296"/>
      <c r="BS606" s="1285">
        <f t="shared" si="4"/>
        <v>0</v>
      </c>
      <c r="BT606" s="1286"/>
      <c r="BU606" s="1286"/>
      <c r="BV606" s="1286"/>
      <c r="BW606" s="1287"/>
      <c r="BX606" s="1285">
        <f t="shared" si="5"/>
        <v>1</v>
      </c>
      <c r="BY606" s="1286"/>
      <c r="BZ606" s="1286"/>
      <c r="CA606" s="1286"/>
      <c r="CB606" s="1287"/>
      <c r="CC606" s="1285">
        <f t="shared" si="6"/>
        <v>0</v>
      </c>
      <c r="CD606" s="1286"/>
      <c r="CE606" s="1286"/>
      <c r="CF606" s="1286"/>
      <c r="CG606" s="1287"/>
      <c r="CH606" s="1285">
        <f t="shared" si="7"/>
        <v>0</v>
      </c>
      <c r="CI606" s="1286"/>
      <c r="CJ606" s="1286"/>
      <c r="CK606" s="1286"/>
      <c r="CL606" s="1287"/>
      <c r="CM606" s="1294">
        <f t="shared" si="8"/>
        <v>0</v>
      </c>
      <c r="CN606" s="1295"/>
      <c r="CO606" s="1295"/>
      <c r="CP606" s="1295"/>
      <c r="CQ606" s="1296"/>
      <c r="CS606" s="1297">
        <f t="shared" si="11"/>
        <v>0</v>
      </c>
      <c r="CT606" s="1298"/>
      <c r="CU606" s="1298"/>
      <c r="CV606" s="1298"/>
      <c r="CW606" s="1299"/>
      <c r="CX606" s="1297">
        <f t="shared" si="12"/>
        <v>0</v>
      </c>
      <c r="CY606" s="1298"/>
      <c r="CZ606" s="1298"/>
      <c r="DA606" s="1298"/>
      <c r="DB606" s="1299"/>
      <c r="DC606" s="1297">
        <f t="shared" si="13"/>
        <v>1</v>
      </c>
      <c r="DD606" s="1298"/>
      <c r="DE606" s="1298"/>
      <c r="DF606" s="1298"/>
      <c r="DG606" s="1299"/>
      <c r="DH606" s="1297">
        <f t="shared" si="14"/>
        <v>0</v>
      </c>
      <c r="DI606" s="1298"/>
      <c r="DJ606" s="1298"/>
      <c r="DK606" s="1298"/>
      <c r="DL606" s="1299"/>
      <c r="DM606" s="1297">
        <f t="shared" si="15"/>
        <v>0</v>
      </c>
      <c r="DN606" s="1298"/>
      <c r="DO606" s="1298"/>
      <c r="DP606" s="1298"/>
      <c r="DQ606" s="1299"/>
      <c r="DR606" s="1297">
        <f t="shared" si="16"/>
        <v>0</v>
      </c>
      <c r="DS606" s="1298"/>
      <c r="DT606" s="1298"/>
      <c r="DU606" s="1298"/>
      <c r="DV606" s="1299"/>
    </row>
    <row r="607" spans="1:126" ht="12.95" customHeight="1">
      <c r="A607" s="4"/>
      <c r="B607" t="s">
        <v>650</v>
      </c>
      <c r="C607"/>
      <c r="G607" s="1284"/>
      <c r="H607" s="1284"/>
      <c r="I607" s="1284"/>
      <c r="J607" s="1284"/>
      <c r="K607" s="1284"/>
      <c r="L607" s="1284"/>
      <c r="O607" s="42" t="s">
        <v>818</v>
      </c>
      <c r="P607" s="1086"/>
      <c r="Q607" s="1086"/>
      <c r="R607" s="1086"/>
      <c r="T607" s="4"/>
      <c r="U607" t="s">
        <v>650</v>
      </c>
      <c r="Z607" s="1284"/>
      <c r="AA607" s="1284"/>
      <c r="AB607" s="1284"/>
      <c r="AC607" s="1284"/>
      <c r="AD607" s="1284"/>
      <c r="AE607" s="1284"/>
      <c r="AH607" s="42" t="s">
        <v>818</v>
      </c>
      <c r="AI607" s="1086"/>
      <c r="AJ607" s="1086"/>
      <c r="AK607" s="1086"/>
      <c r="AZ607" s="41"/>
      <c r="BA607" s="41"/>
      <c r="BB607" s="41"/>
      <c r="BC607" s="41"/>
      <c r="BD607" s="41"/>
      <c r="BE607" s="1291">
        <f t="shared" si="9"/>
        <v>1</v>
      </c>
      <c r="BF607" s="1293"/>
      <c r="BG607" s="1285">
        <f t="shared" si="1"/>
        <v>1</v>
      </c>
      <c r="BH607" s="1287"/>
      <c r="BI607" s="1291">
        <f t="shared" si="10"/>
        <v>0</v>
      </c>
      <c r="BJ607" s="1293"/>
      <c r="BK607" s="1285">
        <f t="shared" si="2"/>
        <v>0</v>
      </c>
      <c r="BL607" s="1287"/>
      <c r="BN607" s="1285">
        <f t="shared" si="3"/>
        <v>0</v>
      </c>
      <c r="BO607" s="1286"/>
      <c r="BP607" s="1286"/>
      <c r="BQ607" s="1286"/>
      <c r="BR607" s="1296"/>
      <c r="BS607" s="1285">
        <f t="shared" si="4"/>
        <v>0</v>
      </c>
      <c r="BT607" s="1286"/>
      <c r="BU607" s="1286"/>
      <c r="BV607" s="1286"/>
      <c r="BW607" s="1287"/>
      <c r="BX607" s="1285">
        <f t="shared" si="5"/>
        <v>0</v>
      </c>
      <c r="BY607" s="1286"/>
      <c r="BZ607" s="1286"/>
      <c r="CA607" s="1286"/>
      <c r="CB607" s="1287"/>
      <c r="CC607" s="1285">
        <f t="shared" si="6"/>
        <v>0</v>
      </c>
      <c r="CD607" s="1286"/>
      <c r="CE607" s="1286"/>
      <c r="CF607" s="1286"/>
      <c r="CG607" s="1287"/>
      <c r="CH607" s="1285">
        <f t="shared" si="7"/>
        <v>0</v>
      </c>
      <c r="CI607" s="1286"/>
      <c r="CJ607" s="1286"/>
      <c r="CK607" s="1286"/>
      <c r="CL607" s="1287"/>
      <c r="CM607" s="1294">
        <f t="shared" si="8"/>
        <v>0</v>
      </c>
      <c r="CN607" s="1295"/>
      <c r="CO607" s="1295"/>
      <c r="CP607" s="1295"/>
      <c r="CQ607" s="1296"/>
      <c r="CS607" s="1297">
        <f t="shared" si="11"/>
        <v>0</v>
      </c>
      <c r="CT607" s="1298"/>
      <c r="CU607" s="1298"/>
      <c r="CV607" s="1298"/>
      <c r="CW607" s="1299"/>
      <c r="CX607" s="1297">
        <f t="shared" si="12"/>
        <v>0</v>
      </c>
      <c r="CY607" s="1298"/>
      <c r="CZ607" s="1298"/>
      <c r="DA607" s="1298"/>
      <c r="DB607" s="1299"/>
      <c r="DC607" s="1297">
        <f t="shared" si="13"/>
        <v>0</v>
      </c>
      <c r="DD607" s="1298"/>
      <c r="DE607" s="1298"/>
      <c r="DF607" s="1298"/>
      <c r="DG607" s="1299"/>
      <c r="DH607" s="1297">
        <f t="shared" si="14"/>
        <v>0</v>
      </c>
      <c r="DI607" s="1298"/>
      <c r="DJ607" s="1298"/>
      <c r="DK607" s="1298"/>
      <c r="DL607" s="1299"/>
      <c r="DM607" s="1297">
        <f t="shared" si="15"/>
        <v>0</v>
      </c>
      <c r="DN607" s="1298"/>
      <c r="DO607" s="1298"/>
      <c r="DP607" s="1298"/>
      <c r="DQ607" s="1299"/>
      <c r="DR607" s="1297">
        <f t="shared" si="16"/>
        <v>0</v>
      </c>
      <c r="DS607" s="1298"/>
      <c r="DT607" s="1298"/>
      <c r="DU607" s="1298"/>
      <c r="DV607" s="1299"/>
    </row>
    <row r="608" spans="1:126" s="5" customFormat="1" ht="12.95" customHeight="1">
      <c r="A608" s="4"/>
      <c r="B608" t="s">
        <v>834</v>
      </c>
      <c r="C608"/>
      <c r="D608"/>
      <c r="E608"/>
      <c r="F608"/>
      <c r="G608"/>
      <c r="H608" s="1087"/>
      <c r="I608" s="1087"/>
      <c r="J608" s="1087"/>
      <c r="K608" s="1087"/>
      <c r="L608" s="1087"/>
      <c r="M608" s="1087"/>
      <c r="N608" s="1087"/>
      <c r="O608" s="1087"/>
      <c r="P608" s="1087"/>
      <c r="Q608" s="1087"/>
      <c r="R608" s="1087"/>
      <c r="S608"/>
      <c r="T608" s="4"/>
      <c r="U608" t="s">
        <v>834</v>
      </c>
      <c r="V608"/>
      <c r="W608"/>
      <c r="X608"/>
      <c r="Y608"/>
      <c r="Z608"/>
      <c r="AA608" s="1087"/>
      <c r="AB608" s="1087"/>
      <c r="AC608" s="1087"/>
      <c r="AD608" s="1087"/>
      <c r="AE608" s="1087"/>
      <c r="AF608" s="1087"/>
      <c r="AG608" s="1087"/>
      <c r="AH608" s="1087"/>
      <c r="AI608" s="1087"/>
      <c r="AJ608" s="1087"/>
      <c r="AK608" s="1087"/>
      <c r="AL608"/>
      <c r="AZ608" s="41"/>
      <c r="BA608" s="41"/>
      <c r="BB608" s="41"/>
      <c r="BC608" s="41"/>
      <c r="BD608" s="41"/>
      <c r="BE608" s="1291">
        <f t="shared" si="9"/>
        <v>0</v>
      </c>
      <c r="BF608" s="1293"/>
      <c r="BG608" s="1285">
        <f t="shared" si="1"/>
        <v>0</v>
      </c>
      <c r="BH608" s="1287"/>
      <c r="BI608" s="1291">
        <f t="shared" si="10"/>
        <v>0</v>
      </c>
      <c r="BJ608" s="1293"/>
      <c r="BK608" s="1285">
        <f t="shared" si="2"/>
        <v>0</v>
      </c>
      <c r="BL608" s="1287"/>
      <c r="BN608" s="1285">
        <f t="shared" si="3"/>
        <v>0</v>
      </c>
      <c r="BO608" s="1286"/>
      <c r="BP608" s="1286"/>
      <c r="BQ608" s="1286"/>
      <c r="BR608" s="1296"/>
      <c r="BS608" s="1285">
        <f t="shared" si="4"/>
        <v>0</v>
      </c>
      <c r="BT608" s="1286"/>
      <c r="BU608" s="1286"/>
      <c r="BV608" s="1286"/>
      <c r="BW608" s="1287"/>
      <c r="BX608" s="1285">
        <f t="shared" si="5"/>
        <v>0</v>
      </c>
      <c r="BY608" s="1286"/>
      <c r="BZ608" s="1286"/>
      <c r="CA608" s="1286"/>
      <c r="CB608" s="1287"/>
      <c r="CC608" s="1285">
        <f t="shared" si="6"/>
        <v>0</v>
      </c>
      <c r="CD608" s="1286"/>
      <c r="CE608" s="1286"/>
      <c r="CF608" s="1286"/>
      <c r="CG608" s="1287"/>
      <c r="CH608" s="1285">
        <f t="shared" si="7"/>
        <v>0</v>
      </c>
      <c r="CI608" s="1286"/>
      <c r="CJ608" s="1286"/>
      <c r="CK608" s="1286"/>
      <c r="CL608" s="1287"/>
      <c r="CM608" s="1294">
        <f t="shared" si="8"/>
        <v>0</v>
      </c>
      <c r="CN608" s="1295"/>
      <c r="CO608" s="1295"/>
      <c r="CP608" s="1295"/>
      <c r="CQ608" s="1296"/>
      <c r="CS608" s="1297">
        <f t="shared" si="11"/>
        <v>0</v>
      </c>
      <c r="CT608" s="1298"/>
      <c r="CU608" s="1298"/>
      <c r="CV608" s="1298"/>
      <c r="CW608" s="1299"/>
      <c r="CX608" s="1297">
        <f t="shared" si="12"/>
        <v>0</v>
      </c>
      <c r="CY608" s="1298"/>
      <c r="CZ608" s="1298"/>
      <c r="DA608" s="1298"/>
      <c r="DB608" s="1299"/>
      <c r="DC608" s="1297">
        <f t="shared" si="13"/>
        <v>0</v>
      </c>
      <c r="DD608" s="1298"/>
      <c r="DE608" s="1298"/>
      <c r="DF608" s="1298"/>
      <c r="DG608" s="1299"/>
      <c r="DH608" s="1297">
        <f t="shared" si="14"/>
        <v>0</v>
      </c>
      <c r="DI608" s="1298"/>
      <c r="DJ608" s="1298"/>
      <c r="DK608" s="1298"/>
      <c r="DL608" s="1299"/>
      <c r="DM608" s="1297">
        <f t="shared" si="15"/>
        <v>0</v>
      </c>
      <c r="DN608" s="1298"/>
      <c r="DO608" s="1298"/>
      <c r="DP608" s="1298"/>
      <c r="DQ608" s="1299"/>
      <c r="DR608" s="1297">
        <f t="shared" si="16"/>
        <v>0</v>
      </c>
      <c r="DS608" s="1298"/>
      <c r="DT608" s="1298"/>
      <c r="DU608" s="1298"/>
      <c r="DV608" s="1299"/>
    </row>
    <row r="609" spans="1:126" s="5" customFormat="1" ht="12.95" customHeight="1">
      <c r="A609" s="4"/>
      <c r="B609" t="s">
        <v>836</v>
      </c>
      <c r="C609"/>
      <c r="D609"/>
      <c r="E609"/>
      <c r="F609"/>
      <c r="G609"/>
      <c r="H609"/>
      <c r="I609"/>
      <c r="J609"/>
      <c r="K609"/>
      <c r="L609"/>
      <c r="M609"/>
      <c r="N609" s="1093" t="s">
        <v>482</v>
      </c>
      <c r="O609" s="1093"/>
      <c r="P609"/>
      <c r="Q609"/>
      <c r="R609"/>
      <c r="S609"/>
      <c r="T609" s="4"/>
      <c r="U609" t="s">
        <v>836</v>
      </c>
      <c r="V609"/>
      <c r="W609"/>
      <c r="X609"/>
      <c r="Y609"/>
      <c r="Z609"/>
      <c r="AA609"/>
      <c r="AB609"/>
      <c r="AC609"/>
      <c r="AD609"/>
      <c r="AE609"/>
      <c r="AF609"/>
      <c r="AG609" s="1093" t="s">
        <v>482</v>
      </c>
      <c r="AH609" s="1093"/>
      <c r="AI609"/>
      <c r="AJ609"/>
      <c r="AK609"/>
      <c r="AL609"/>
      <c r="AZ609" s="41"/>
      <c r="BA609" s="41"/>
      <c r="BB609" s="41"/>
      <c r="BC609" s="41"/>
      <c r="BD609" s="41"/>
      <c r="BE609" s="1291">
        <f t="shared" si="9"/>
        <v>0</v>
      </c>
      <c r="BF609" s="1293"/>
      <c r="BG609" s="1285">
        <f t="shared" si="1"/>
        <v>0</v>
      </c>
      <c r="BH609" s="1287"/>
      <c r="BI609" s="1291">
        <f t="shared" si="10"/>
        <v>0</v>
      </c>
      <c r="BJ609" s="1293"/>
      <c r="BK609" s="1285">
        <f t="shared" si="2"/>
        <v>0</v>
      </c>
      <c r="BL609" s="1287"/>
      <c r="BN609" s="1285">
        <f t="shared" si="3"/>
        <v>0</v>
      </c>
      <c r="BO609" s="1286"/>
      <c r="BP609" s="1286"/>
      <c r="BQ609" s="1286"/>
      <c r="BR609" s="1296"/>
      <c r="BS609" s="1285">
        <f t="shared" si="4"/>
        <v>0</v>
      </c>
      <c r="BT609" s="1286"/>
      <c r="BU609" s="1286"/>
      <c r="BV609" s="1286"/>
      <c r="BW609" s="1287"/>
      <c r="BX609" s="1285">
        <f t="shared" si="5"/>
        <v>0</v>
      </c>
      <c r="BY609" s="1286"/>
      <c r="BZ609" s="1286"/>
      <c r="CA609" s="1286"/>
      <c r="CB609" s="1287"/>
      <c r="CC609" s="1285">
        <f t="shared" si="6"/>
        <v>0</v>
      </c>
      <c r="CD609" s="1286"/>
      <c r="CE609" s="1286"/>
      <c r="CF609" s="1286"/>
      <c r="CG609" s="1287"/>
      <c r="CH609" s="1285">
        <f t="shared" si="7"/>
        <v>0</v>
      </c>
      <c r="CI609" s="1286"/>
      <c r="CJ609" s="1286"/>
      <c r="CK609" s="1286"/>
      <c r="CL609" s="1287"/>
      <c r="CM609" s="1294">
        <f t="shared" si="8"/>
        <v>0</v>
      </c>
      <c r="CN609" s="1295"/>
      <c r="CO609" s="1295"/>
      <c r="CP609" s="1295"/>
      <c r="CQ609" s="1296"/>
      <c r="CS609" s="1297">
        <f t="shared" si="11"/>
        <v>0</v>
      </c>
      <c r="CT609" s="1298"/>
      <c r="CU609" s="1298"/>
      <c r="CV609" s="1298"/>
      <c r="CW609" s="1299"/>
      <c r="CX609" s="1297">
        <f t="shared" si="12"/>
        <v>0</v>
      </c>
      <c r="CY609" s="1298"/>
      <c r="CZ609" s="1298"/>
      <c r="DA609" s="1298"/>
      <c r="DB609" s="1299"/>
      <c r="DC609" s="1297">
        <f t="shared" si="13"/>
        <v>0</v>
      </c>
      <c r="DD609" s="1298"/>
      <c r="DE609" s="1298"/>
      <c r="DF609" s="1298"/>
      <c r="DG609" s="1299"/>
      <c r="DH609" s="1297">
        <f t="shared" si="14"/>
        <v>0</v>
      </c>
      <c r="DI609" s="1298"/>
      <c r="DJ609" s="1298"/>
      <c r="DK609" s="1298"/>
      <c r="DL609" s="1299"/>
      <c r="DM609" s="1297">
        <f t="shared" si="15"/>
        <v>0</v>
      </c>
      <c r="DN609" s="1298"/>
      <c r="DO609" s="1298"/>
      <c r="DP609" s="1298"/>
      <c r="DQ609" s="1299"/>
      <c r="DR609" s="1297">
        <f t="shared" si="16"/>
        <v>0</v>
      </c>
      <c r="DS609" s="1298"/>
      <c r="DT609" s="1298"/>
      <c r="DU609" s="1298"/>
      <c r="DV609" s="129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91">
        <f t="shared" si="9"/>
        <v>0</v>
      </c>
      <c r="BF610" s="1293"/>
      <c r="BG610" s="1285">
        <f t="shared" si="1"/>
        <v>0</v>
      </c>
      <c r="BH610" s="1287"/>
      <c r="BI610" s="1291">
        <f t="shared" si="10"/>
        <v>0</v>
      </c>
      <c r="BJ610" s="1293"/>
      <c r="BK610" s="1285">
        <f t="shared" si="2"/>
        <v>0</v>
      </c>
      <c r="BL610" s="1287"/>
      <c r="BN610" s="1285">
        <f t="shared" si="3"/>
        <v>0</v>
      </c>
      <c r="BO610" s="1286"/>
      <c r="BP610" s="1286"/>
      <c r="BQ610" s="1286"/>
      <c r="BR610" s="1296"/>
      <c r="BS610" s="1285">
        <f t="shared" si="4"/>
        <v>0</v>
      </c>
      <c r="BT610" s="1286"/>
      <c r="BU610" s="1286"/>
      <c r="BV610" s="1286"/>
      <c r="BW610" s="1287"/>
      <c r="BX610" s="1285">
        <f t="shared" si="5"/>
        <v>0</v>
      </c>
      <c r="BY610" s="1286"/>
      <c r="BZ610" s="1286"/>
      <c r="CA610" s="1286"/>
      <c r="CB610" s="1287"/>
      <c r="CC610" s="1285">
        <f t="shared" si="6"/>
        <v>0</v>
      </c>
      <c r="CD610" s="1286"/>
      <c r="CE610" s="1286"/>
      <c r="CF610" s="1286"/>
      <c r="CG610" s="1287"/>
      <c r="CH610" s="1285">
        <f t="shared" si="7"/>
        <v>0</v>
      </c>
      <c r="CI610" s="1286"/>
      <c r="CJ610" s="1286"/>
      <c r="CK610" s="1286"/>
      <c r="CL610" s="1287"/>
      <c r="CM610" s="1294">
        <f t="shared" si="8"/>
        <v>0</v>
      </c>
      <c r="CN610" s="1295"/>
      <c r="CO610" s="1295"/>
      <c r="CP610" s="1295"/>
      <c r="CQ610" s="1296"/>
      <c r="CS610" s="1297">
        <f t="shared" si="11"/>
        <v>0</v>
      </c>
      <c r="CT610" s="1298"/>
      <c r="CU610" s="1298"/>
      <c r="CV610" s="1298"/>
      <c r="CW610" s="1299"/>
      <c r="CX610" s="1297">
        <f t="shared" si="12"/>
        <v>0</v>
      </c>
      <c r="CY610" s="1298"/>
      <c r="CZ610" s="1298"/>
      <c r="DA610" s="1298"/>
      <c r="DB610" s="1299"/>
      <c r="DC610" s="1297">
        <f t="shared" si="13"/>
        <v>0</v>
      </c>
      <c r="DD610" s="1298"/>
      <c r="DE610" s="1298"/>
      <c r="DF610" s="1298"/>
      <c r="DG610" s="1299"/>
      <c r="DH610" s="1297">
        <f t="shared" si="14"/>
        <v>0</v>
      </c>
      <c r="DI610" s="1298"/>
      <c r="DJ610" s="1298"/>
      <c r="DK610" s="1298"/>
      <c r="DL610" s="1299"/>
      <c r="DM610" s="1297">
        <f t="shared" si="15"/>
        <v>0</v>
      </c>
      <c r="DN610" s="1298"/>
      <c r="DO610" s="1298"/>
      <c r="DP610" s="1298"/>
      <c r="DQ610" s="1299"/>
      <c r="DR610" s="1297">
        <f t="shared" si="16"/>
        <v>0</v>
      </c>
      <c r="DS610" s="1298"/>
      <c r="DT610" s="1298"/>
      <c r="DU610" s="1298"/>
      <c r="DV610" s="1299"/>
    </row>
    <row r="611" spans="1:126" ht="12.95" customHeight="1">
      <c r="A611" s="61" t="s">
        <v>32</v>
      </c>
      <c r="B611" t="s">
        <v>82</v>
      </c>
      <c r="C611"/>
      <c r="G611" s="1088">
        <f>C567</f>
        <v>0</v>
      </c>
      <c r="H611" s="1088"/>
      <c r="I611" s="1088"/>
      <c r="J611" s="1088"/>
      <c r="K611" s="1088"/>
      <c r="L611" s="1088"/>
      <c r="M611" s="1088"/>
      <c r="N611" s="1088"/>
      <c r="O611" s="1088"/>
      <c r="P611" s="1088"/>
      <c r="Q611" s="1088"/>
      <c r="R611" s="1088"/>
      <c r="T611" s="61" t="s">
        <v>33</v>
      </c>
      <c r="U611" t="s">
        <v>82</v>
      </c>
      <c r="Z611" s="1088">
        <f>C568</f>
        <v>0</v>
      </c>
      <c r="AA611" s="1088"/>
      <c r="AB611" s="1088"/>
      <c r="AC611" s="1088"/>
      <c r="AD611" s="1088"/>
      <c r="AE611" s="1088"/>
      <c r="AF611" s="1088"/>
      <c r="AG611" s="1088"/>
      <c r="AH611" s="1088"/>
      <c r="AI611" s="1088"/>
      <c r="AJ611" s="1088"/>
      <c r="AK611" s="1088"/>
      <c r="AZ611" s="41"/>
      <c r="BA611" s="41"/>
      <c r="BB611" s="41"/>
      <c r="BC611" s="41"/>
      <c r="BD611" s="41"/>
      <c r="BE611" s="1291">
        <f t="shared" si="9"/>
        <v>0</v>
      </c>
      <c r="BF611" s="1293"/>
      <c r="BG611" s="1285">
        <f t="shared" si="1"/>
        <v>0</v>
      </c>
      <c r="BH611" s="1287"/>
      <c r="BI611" s="1291">
        <f t="shared" si="10"/>
        <v>0</v>
      </c>
      <c r="BJ611" s="1293"/>
      <c r="BK611" s="1285">
        <f t="shared" si="2"/>
        <v>0</v>
      </c>
      <c r="BL611" s="1287"/>
      <c r="BN611" s="1285">
        <f t="shared" si="3"/>
        <v>0</v>
      </c>
      <c r="BO611" s="1286"/>
      <c r="BP611" s="1286"/>
      <c r="BQ611" s="1286"/>
      <c r="BR611" s="1296"/>
      <c r="BS611" s="1285">
        <f t="shared" si="4"/>
        <v>0</v>
      </c>
      <c r="BT611" s="1286"/>
      <c r="BU611" s="1286"/>
      <c r="BV611" s="1286"/>
      <c r="BW611" s="1287"/>
      <c r="BX611" s="1285">
        <f t="shared" si="5"/>
        <v>0</v>
      </c>
      <c r="BY611" s="1286"/>
      <c r="BZ611" s="1286"/>
      <c r="CA611" s="1286"/>
      <c r="CB611" s="1287"/>
      <c r="CC611" s="1285">
        <f t="shared" si="6"/>
        <v>0</v>
      </c>
      <c r="CD611" s="1286"/>
      <c r="CE611" s="1286"/>
      <c r="CF611" s="1286"/>
      <c r="CG611" s="1287"/>
      <c r="CH611" s="1285">
        <f t="shared" si="7"/>
        <v>0</v>
      </c>
      <c r="CI611" s="1286"/>
      <c r="CJ611" s="1286"/>
      <c r="CK611" s="1286"/>
      <c r="CL611" s="1287"/>
      <c r="CM611" s="1294">
        <f t="shared" si="8"/>
        <v>0</v>
      </c>
      <c r="CN611" s="1295"/>
      <c r="CO611" s="1295"/>
      <c r="CP611" s="1295"/>
      <c r="CQ611" s="1296"/>
      <c r="CS611" s="1297">
        <f t="shared" si="11"/>
        <v>0</v>
      </c>
      <c r="CT611" s="1298"/>
      <c r="CU611" s="1298"/>
      <c r="CV611" s="1298"/>
      <c r="CW611" s="1299"/>
      <c r="CX611" s="1297">
        <f t="shared" si="12"/>
        <v>0</v>
      </c>
      <c r="CY611" s="1298"/>
      <c r="CZ611" s="1298"/>
      <c r="DA611" s="1298"/>
      <c r="DB611" s="1299"/>
      <c r="DC611" s="1297">
        <f t="shared" si="13"/>
        <v>0</v>
      </c>
      <c r="DD611" s="1298"/>
      <c r="DE611" s="1298"/>
      <c r="DF611" s="1298"/>
      <c r="DG611" s="1299"/>
      <c r="DH611" s="1297">
        <f t="shared" si="14"/>
        <v>0</v>
      </c>
      <c r="DI611" s="1298"/>
      <c r="DJ611" s="1298"/>
      <c r="DK611" s="1298"/>
      <c r="DL611" s="1299"/>
      <c r="DM611" s="1297">
        <f t="shared" si="15"/>
        <v>0</v>
      </c>
      <c r="DN611" s="1298"/>
      <c r="DO611" s="1298"/>
      <c r="DP611" s="1298"/>
      <c r="DQ611" s="1299"/>
      <c r="DR611" s="1297">
        <f t="shared" si="16"/>
        <v>0</v>
      </c>
      <c r="DS611" s="1298"/>
      <c r="DT611" s="1298"/>
      <c r="DU611" s="1298"/>
      <c r="DV611" s="1299"/>
    </row>
    <row r="612" spans="1:126" ht="12.95" customHeight="1">
      <c r="B612" t="s">
        <v>372</v>
      </c>
      <c r="C612"/>
      <c r="G612" s="1087"/>
      <c r="H612" s="1087"/>
      <c r="I612" s="1087"/>
      <c r="J612" s="1087"/>
      <c r="K612" s="1087"/>
      <c r="L612" s="1087"/>
      <c r="M612" s="1087"/>
      <c r="N612" s="1087"/>
      <c r="O612" s="1087"/>
      <c r="P612" s="1087"/>
      <c r="Q612" s="1087"/>
      <c r="R612" s="1087"/>
      <c r="U612" t="s">
        <v>372</v>
      </c>
      <c r="Z612" s="1087"/>
      <c r="AA612" s="1087"/>
      <c r="AB612" s="1087"/>
      <c r="AC612" s="1087"/>
      <c r="AD612" s="1087"/>
      <c r="AE612" s="1087"/>
      <c r="AF612" s="1087"/>
      <c r="AG612" s="1087"/>
      <c r="AH612" s="1087"/>
      <c r="AI612" s="1087"/>
      <c r="AJ612" s="1087"/>
      <c r="AK612" s="1087"/>
      <c r="AZ612" s="41"/>
      <c r="BA612" s="41"/>
      <c r="BB612" s="41"/>
      <c r="BC612" s="41"/>
      <c r="BD612" s="41"/>
      <c r="BE612" s="1291">
        <f t="shared" si="9"/>
        <v>0</v>
      </c>
      <c r="BF612" s="1293"/>
      <c r="BG612" s="1285">
        <f t="shared" si="1"/>
        <v>0</v>
      </c>
      <c r="BH612" s="1287"/>
      <c r="BI612" s="1291">
        <f t="shared" si="10"/>
        <v>0</v>
      </c>
      <c r="BJ612" s="1293"/>
      <c r="BK612" s="1285">
        <f t="shared" si="2"/>
        <v>0</v>
      </c>
      <c r="BL612" s="1287"/>
      <c r="BN612" s="1285">
        <f t="shared" si="3"/>
        <v>0</v>
      </c>
      <c r="BO612" s="1286"/>
      <c r="BP612" s="1286"/>
      <c r="BQ612" s="1286"/>
      <c r="BR612" s="1296"/>
      <c r="BS612" s="1285">
        <f t="shared" si="4"/>
        <v>0</v>
      </c>
      <c r="BT612" s="1286"/>
      <c r="BU612" s="1286"/>
      <c r="BV612" s="1286"/>
      <c r="BW612" s="1287"/>
      <c r="BX612" s="1285">
        <f t="shared" si="5"/>
        <v>0</v>
      </c>
      <c r="BY612" s="1286"/>
      <c r="BZ612" s="1286"/>
      <c r="CA612" s="1286"/>
      <c r="CB612" s="1287"/>
      <c r="CC612" s="1285">
        <f t="shared" si="6"/>
        <v>0</v>
      </c>
      <c r="CD612" s="1286"/>
      <c r="CE612" s="1286"/>
      <c r="CF612" s="1286"/>
      <c r="CG612" s="1287"/>
      <c r="CH612" s="1285">
        <f t="shared" si="7"/>
        <v>0</v>
      </c>
      <c r="CI612" s="1286"/>
      <c r="CJ612" s="1286"/>
      <c r="CK612" s="1286"/>
      <c r="CL612" s="1287"/>
      <c r="CM612" s="1294">
        <f t="shared" si="8"/>
        <v>0</v>
      </c>
      <c r="CN612" s="1295"/>
      <c r="CO612" s="1295"/>
      <c r="CP612" s="1295"/>
      <c r="CQ612" s="1296"/>
      <c r="CS612" s="1297">
        <f t="shared" si="11"/>
        <v>0</v>
      </c>
      <c r="CT612" s="1298"/>
      <c r="CU612" s="1298"/>
      <c r="CV612" s="1298"/>
      <c r="CW612" s="1299"/>
      <c r="CX612" s="1297">
        <f t="shared" si="12"/>
        <v>0</v>
      </c>
      <c r="CY612" s="1298"/>
      <c r="CZ612" s="1298"/>
      <c r="DA612" s="1298"/>
      <c r="DB612" s="1299"/>
      <c r="DC612" s="1297">
        <f t="shared" si="13"/>
        <v>0</v>
      </c>
      <c r="DD612" s="1298"/>
      <c r="DE612" s="1298"/>
      <c r="DF612" s="1298"/>
      <c r="DG612" s="1299"/>
      <c r="DH612" s="1297">
        <f t="shared" si="14"/>
        <v>0</v>
      </c>
      <c r="DI612" s="1298"/>
      <c r="DJ612" s="1298"/>
      <c r="DK612" s="1298"/>
      <c r="DL612" s="1299"/>
      <c r="DM612" s="1297">
        <f t="shared" si="15"/>
        <v>0</v>
      </c>
      <c r="DN612" s="1298"/>
      <c r="DO612" s="1298"/>
      <c r="DP612" s="1298"/>
      <c r="DQ612" s="1299"/>
      <c r="DR612" s="1297">
        <f t="shared" si="16"/>
        <v>0</v>
      </c>
      <c r="DS612" s="1298"/>
      <c r="DT612" s="1298"/>
      <c r="DU612" s="1298"/>
      <c r="DV612" s="1299"/>
    </row>
    <row r="613" spans="1:126" ht="12.95" customHeight="1">
      <c r="B613" t="s">
        <v>430</v>
      </c>
      <c r="C613"/>
      <c r="G613" s="1087"/>
      <c r="H613" s="1087"/>
      <c r="I613" s="1087"/>
      <c r="J613" s="1087"/>
      <c r="K613" s="1087"/>
      <c r="L613" s="1087"/>
      <c r="M613" s="1087"/>
      <c r="N613" s="1087"/>
      <c r="O613" s="1087"/>
      <c r="P613" s="1087"/>
      <c r="Q613" s="1087"/>
      <c r="R613" s="1087"/>
      <c r="U613" t="s">
        <v>430</v>
      </c>
      <c r="Z613" s="1085"/>
      <c r="AA613" s="1085"/>
      <c r="AB613" s="1085"/>
      <c r="AC613" s="1085"/>
      <c r="AD613" s="1085"/>
      <c r="AE613" s="1085"/>
      <c r="AF613" s="1085"/>
      <c r="AG613" s="1085"/>
      <c r="AH613" s="1085"/>
      <c r="AI613" s="1085"/>
      <c r="AJ613" s="1085"/>
      <c r="AK613" s="1085"/>
      <c r="AL613" s="303"/>
      <c r="BA613" s="41"/>
      <c r="BB613" s="41"/>
      <c r="BC613" s="41"/>
      <c r="BD613" s="41"/>
      <c r="BE613" s="1291">
        <f t="shared" si="9"/>
        <v>0</v>
      </c>
      <c r="BF613" s="1293"/>
      <c r="BG613" s="1285">
        <f t="shared" si="1"/>
        <v>0</v>
      </c>
      <c r="BH613" s="1287"/>
      <c r="BI613" s="1291">
        <f t="shared" si="10"/>
        <v>0</v>
      </c>
      <c r="BJ613" s="1293"/>
      <c r="BK613" s="1285">
        <f t="shared" si="2"/>
        <v>0</v>
      </c>
      <c r="BL613" s="1287"/>
      <c r="BN613" s="1285">
        <f t="shared" si="3"/>
        <v>0</v>
      </c>
      <c r="BO613" s="1286"/>
      <c r="BP613" s="1286"/>
      <c r="BQ613" s="1286"/>
      <c r="BR613" s="1296"/>
      <c r="BS613" s="1285">
        <f t="shared" si="4"/>
        <v>0</v>
      </c>
      <c r="BT613" s="1286"/>
      <c r="BU613" s="1286"/>
      <c r="BV613" s="1286"/>
      <c r="BW613" s="1287"/>
      <c r="BX613" s="1285">
        <f t="shared" si="5"/>
        <v>0</v>
      </c>
      <c r="BY613" s="1286"/>
      <c r="BZ613" s="1286"/>
      <c r="CA613" s="1286"/>
      <c r="CB613" s="1287"/>
      <c r="CC613" s="1285">
        <f t="shared" si="6"/>
        <v>0</v>
      </c>
      <c r="CD613" s="1286"/>
      <c r="CE613" s="1286"/>
      <c r="CF613" s="1286"/>
      <c r="CG613" s="1287"/>
      <c r="CH613" s="1285">
        <f t="shared" si="7"/>
        <v>0</v>
      </c>
      <c r="CI613" s="1286"/>
      <c r="CJ613" s="1286"/>
      <c r="CK613" s="1286"/>
      <c r="CL613" s="1287"/>
      <c r="CM613" s="1294">
        <f t="shared" si="8"/>
        <v>0</v>
      </c>
      <c r="CN613" s="1295"/>
      <c r="CO613" s="1295"/>
      <c r="CP613" s="1295"/>
      <c r="CQ613" s="1296"/>
      <c r="CS613" s="1297">
        <f t="shared" si="11"/>
        <v>0</v>
      </c>
      <c r="CT613" s="1298"/>
      <c r="CU613" s="1298"/>
      <c r="CV613" s="1298"/>
      <c r="CW613" s="1299"/>
      <c r="CX613" s="1297">
        <f t="shared" si="12"/>
        <v>0</v>
      </c>
      <c r="CY613" s="1298"/>
      <c r="CZ613" s="1298"/>
      <c r="DA613" s="1298"/>
      <c r="DB613" s="1299"/>
      <c r="DC613" s="1297">
        <f t="shared" si="13"/>
        <v>0</v>
      </c>
      <c r="DD613" s="1298"/>
      <c r="DE613" s="1298"/>
      <c r="DF613" s="1298"/>
      <c r="DG613" s="1299"/>
      <c r="DH613" s="1297">
        <f t="shared" si="14"/>
        <v>0</v>
      </c>
      <c r="DI613" s="1298"/>
      <c r="DJ613" s="1298"/>
      <c r="DK613" s="1298"/>
      <c r="DL613" s="1299"/>
      <c r="DM613" s="1297">
        <f t="shared" si="15"/>
        <v>0</v>
      </c>
      <c r="DN613" s="1298"/>
      <c r="DO613" s="1298"/>
      <c r="DP613" s="1298"/>
      <c r="DQ613" s="1299"/>
      <c r="DR613" s="1297">
        <f t="shared" si="16"/>
        <v>0</v>
      </c>
      <c r="DS613" s="1298"/>
      <c r="DT613" s="1298"/>
      <c r="DU613" s="1298"/>
      <c r="DV613" s="1299"/>
    </row>
    <row r="614" spans="1:126" ht="12.95" customHeight="1">
      <c r="B614" t="s">
        <v>833</v>
      </c>
      <c r="C614"/>
      <c r="G614" s="1087"/>
      <c r="H614" s="1087"/>
      <c r="I614" s="1087"/>
      <c r="J614" s="1087"/>
      <c r="K614" s="1087"/>
      <c r="L614" s="1087"/>
      <c r="M614" s="1087"/>
      <c r="N614" s="1087"/>
      <c r="O614" s="1087"/>
      <c r="P614" s="1087"/>
      <c r="Q614" s="1087"/>
      <c r="R614" s="1087"/>
      <c r="U614" t="s">
        <v>833</v>
      </c>
      <c r="Z614" s="1085"/>
      <c r="AA614" s="1085"/>
      <c r="AB614" s="1085"/>
      <c r="AC614" s="1085"/>
      <c r="AD614" s="1085"/>
      <c r="AE614" s="1085"/>
      <c r="AF614" s="1085"/>
      <c r="AG614" s="1085"/>
      <c r="AH614" s="1085"/>
      <c r="AI614" s="1085"/>
      <c r="AJ614" s="1085"/>
      <c r="AK614" s="1085"/>
      <c r="AL614" s="303"/>
      <c r="BA614" s="41"/>
      <c r="BB614" s="41"/>
      <c r="BC614" s="41"/>
      <c r="BD614" s="41"/>
      <c r="BE614" s="1291">
        <f t="shared" si="9"/>
        <v>0</v>
      </c>
      <c r="BF614" s="1293"/>
      <c r="BG614" s="1285">
        <f t="shared" si="1"/>
        <v>0</v>
      </c>
      <c r="BH614" s="1287"/>
      <c r="BI614" s="1291">
        <f t="shared" si="10"/>
        <v>0</v>
      </c>
      <c r="BJ614" s="1293"/>
      <c r="BK614" s="1285">
        <f t="shared" si="2"/>
        <v>0</v>
      </c>
      <c r="BL614" s="1287"/>
      <c r="BN614" s="1285">
        <f t="shared" si="3"/>
        <v>0</v>
      </c>
      <c r="BO614" s="1286"/>
      <c r="BP614" s="1286"/>
      <c r="BQ614" s="1286"/>
      <c r="BR614" s="1296"/>
      <c r="BS614" s="1285">
        <f t="shared" si="4"/>
        <v>0</v>
      </c>
      <c r="BT614" s="1286"/>
      <c r="BU614" s="1286"/>
      <c r="BV614" s="1286"/>
      <c r="BW614" s="1287"/>
      <c r="BX614" s="1285">
        <f t="shared" si="5"/>
        <v>0</v>
      </c>
      <c r="BY614" s="1286"/>
      <c r="BZ614" s="1286"/>
      <c r="CA614" s="1286"/>
      <c r="CB614" s="1287"/>
      <c r="CC614" s="1285">
        <f t="shared" si="6"/>
        <v>0</v>
      </c>
      <c r="CD614" s="1286"/>
      <c r="CE614" s="1286"/>
      <c r="CF614" s="1286"/>
      <c r="CG614" s="1287"/>
      <c r="CH614" s="1285">
        <f t="shared" si="7"/>
        <v>0</v>
      </c>
      <c r="CI614" s="1286"/>
      <c r="CJ614" s="1286"/>
      <c r="CK614" s="1286"/>
      <c r="CL614" s="1287"/>
      <c r="CM614" s="1294">
        <f t="shared" si="8"/>
        <v>0</v>
      </c>
      <c r="CN614" s="1295"/>
      <c r="CO614" s="1295"/>
      <c r="CP614" s="1295"/>
      <c r="CQ614" s="1296"/>
      <c r="CS614" s="1297">
        <f t="shared" si="11"/>
        <v>0</v>
      </c>
      <c r="CT614" s="1298"/>
      <c r="CU614" s="1298"/>
      <c r="CV614" s="1298"/>
      <c r="CW614" s="1299"/>
      <c r="CX614" s="1297">
        <f t="shared" si="12"/>
        <v>0</v>
      </c>
      <c r="CY614" s="1298"/>
      <c r="CZ614" s="1298"/>
      <c r="DA614" s="1298"/>
      <c r="DB614" s="1299"/>
      <c r="DC614" s="1297">
        <f t="shared" si="13"/>
        <v>0</v>
      </c>
      <c r="DD614" s="1298"/>
      <c r="DE614" s="1298"/>
      <c r="DF614" s="1298"/>
      <c r="DG614" s="1299"/>
      <c r="DH614" s="1297">
        <f t="shared" si="14"/>
        <v>0</v>
      </c>
      <c r="DI614" s="1298"/>
      <c r="DJ614" s="1298"/>
      <c r="DK614" s="1298"/>
      <c r="DL614" s="1299"/>
      <c r="DM614" s="1297">
        <f t="shared" si="15"/>
        <v>0</v>
      </c>
      <c r="DN614" s="1298"/>
      <c r="DO614" s="1298"/>
      <c r="DP614" s="1298"/>
      <c r="DQ614" s="1299"/>
      <c r="DR614" s="1297">
        <f t="shared" si="16"/>
        <v>0</v>
      </c>
      <c r="DS614" s="1298"/>
      <c r="DT614" s="1298"/>
      <c r="DU614" s="1298"/>
      <c r="DV614" s="1299"/>
    </row>
    <row r="615" spans="1:126" ht="12.95" customHeight="1">
      <c r="B615" t="s">
        <v>650</v>
      </c>
      <c r="C615"/>
      <c r="G615" s="1284"/>
      <c r="H615" s="1284"/>
      <c r="I615" s="1284"/>
      <c r="J615" s="1284"/>
      <c r="K615" s="1284"/>
      <c r="L615" s="1284"/>
      <c r="O615" s="42" t="s">
        <v>818</v>
      </c>
      <c r="P615" s="1086"/>
      <c r="Q615" s="1086"/>
      <c r="R615" s="1086"/>
      <c r="U615" t="s">
        <v>650</v>
      </c>
      <c r="Z615" s="1284"/>
      <c r="AA615" s="1284"/>
      <c r="AB615" s="1284"/>
      <c r="AC615" s="1284"/>
      <c r="AD615" s="1284"/>
      <c r="AE615" s="1284"/>
      <c r="AH615" s="42" t="s">
        <v>818</v>
      </c>
      <c r="AI615" s="1086"/>
      <c r="AJ615" s="1086"/>
      <c r="AK615" s="1086"/>
      <c r="AZ615" s="41"/>
      <c r="BA615" s="41"/>
      <c r="BB615" s="41"/>
      <c r="BC615" s="41"/>
      <c r="BD615" s="41"/>
      <c r="BE615" s="1291">
        <f t="shared" si="9"/>
        <v>0</v>
      </c>
      <c r="BF615" s="1293"/>
      <c r="BG615" s="1285">
        <f t="shared" si="1"/>
        <v>0</v>
      </c>
      <c r="BH615" s="1287"/>
      <c r="BI615" s="1291">
        <f t="shared" si="10"/>
        <v>0</v>
      </c>
      <c r="BJ615" s="1293"/>
      <c r="BK615" s="1285">
        <f t="shared" si="2"/>
        <v>0</v>
      </c>
      <c r="BL615" s="1287"/>
      <c r="BN615" s="1285">
        <f t="shared" si="3"/>
        <v>0</v>
      </c>
      <c r="BO615" s="1286"/>
      <c r="BP615" s="1286"/>
      <c r="BQ615" s="1286"/>
      <c r="BR615" s="1296"/>
      <c r="BS615" s="1285">
        <f t="shared" si="4"/>
        <v>0</v>
      </c>
      <c r="BT615" s="1286"/>
      <c r="BU615" s="1286"/>
      <c r="BV615" s="1286"/>
      <c r="BW615" s="1287"/>
      <c r="BX615" s="1285">
        <f t="shared" si="5"/>
        <v>0</v>
      </c>
      <c r="BY615" s="1286"/>
      <c r="BZ615" s="1286"/>
      <c r="CA615" s="1286"/>
      <c r="CB615" s="1287"/>
      <c r="CC615" s="1285">
        <f t="shared" si="6"/>
        <v>0</v>
      </c>
      <c r="CD615" s="1286"/>
      <c r="CE615" s="1286"/>
      <c r="CF615" s="1286"/>
      <c r="CG615" s="1287"/>
      <c r="CH615" s="1285">
        <f t="shared" si="7"/>
        <v>0</v>
      </c>
      <c r="CI615" s="1286"/>
      <c r="CJ615" s="1286"/>
      <c r="CK615" s="1286"/>
      <c r="CL615" s="1287"/>
      <c r="CM615" s="1294">
        <f t="shared" si="8"/>
        <v>0</v>
      </c>
      <c r="CN615" s="1295"/>
      <c r="CO615" s="1295"/>
      <c r="CP615" s="1295"/>
      <c r="CQ615" s="1296"/>
      <c r="CS615" s="1297">
        <f t="shared" si="11"/>
        <v>0</v>
      </c>
      <c r="CT615" s="1298"/>
      <c r="CU615" s="1298"/>
      <c r="CV615" s="1298"/>
      <c r="CW615" s="1299"/>
      <c r="CX615" s="1297">
        <f t="shared" si="12"/>
        <v>0</v>
      </c>
      <c r="CY615" s="1298"/>
      <c r="CZ615" s="1298"/>
      <c r="DA615" s="1298"/>
      <c r="DB615" s="1299"/>
      <c r="DC615" s="1297">
        <f t="shared" si="13"/>
        <v>0</v>
      </c>
      <c r="DD615" s="1298"/>
      <c r="DE615" s="1298"/>
      <c r="DF615" s="1298"/>
      <c r="DG615" s="1299"/>
      <c r="DH615" s="1297">
        <f t="shared" si="14"/>
        <v>0</v>
      </c>
      <c r="DI615" s="1298"/>
      <c r="DJ615" s="1298"/>
      <c r="DK615" s="1298"/>
      <c r="DL615" s="1299"/>
      <c r="DM615" s="1297">
        <f t="shared" si="15"/>
        <v>0</v>
      </c>
      <c r="DN615" s="1298"/>
      <c r="DO615" s="1298"/>
      <c r="DP615" s="1298"/>
      <c r="DQ615" s="1299"/>
      <c r="DR615" s="1297">
        <f t="shared" si="16"/>
        <v>0</v>
      </c>
      <c r="DS615" s="1298"/>
      <c r="DT615" s="1298"/>
      <c r="DU615" s="1298"/>
      <c r="DV615" s="1299"/>
    </row>
    <row r="616" spans="1:126" ht="12.95" customHeight="1">
      <c r="B616" t="s">
        <v>834</v>
      </c>
      <c r="C616"/>
      <c r="H616" s="1087"/>
      <c r="I616" s="1087"/>
      <c r="J616" s="1087"/>
      <c r="K616" s="1087"/>
      <c r="L616" s="1087"/>
      <c r="M616" s="1087"/>
      <c r="N616" s="1087"/>
      <c r="O616" s="1087"/>
      <c r="P616" s="1087"/>
      <c r="Q616" s="1087"/>
      <c r="R616" s="1087"/>
      <c r="U616" t="s">
        <v>834</v>
      </c>
      <c r="AA616" s="1087"/>
      <c r="AB616" s="1087"/>
      <c r="AC616" s="1087"/>
      <c r="AD616" s="1087"/>
      <c r="AE616" s="1087"/>
      <c r="AF616" s="1087"/>
      <c r="AG616" s="1087"/>
      <c r="AH616" s="1087"/>
      <c r="AI616" s="1087"/>
      <c r="AJ616" s="1087"/>
      <c r="AK616" s="1087"/>
      <c r="AZ616" s="41"/>
      <c r="BA616" s="41"/>
      <c r="BB616" s="41"/>
      <c r="BC616" s="41"/>
      <c r="BD616" s="41"/>
      <c r="BE616" s="1291">
        <f t="shared" si="9"/>
        <v>0</v>
      </c>
      <c r="BF616" s="1293"/>
      <c r="BG616" s="1285">
        <f t="shared" si="1"/>
        <v>0</v>
      </c>
      <c r="BH616" s="1287"/>
      <c r="BI616" s="1291">
        <f t="shared" si="10"/>
        <v>0</v>
      </c>
      <c r="BJ616" s="1293"/>
      <c r="BK616" s="1285">
        <f t="shared" si="2"/>
        <v>0</v>
      </c>
      <c r="BL616" s="1287"/>
      <c r="BN616" s="1285">
        <f t="shared" si="3"/>
        <v>0</v>
      </c>
      <c r="BO616" s="1286"/>
      <c r="BP616" s="1286"/>
      <c r="BQ616" s="1286"/>
      <c r="BR616" s="1296"/>
      <c r="BS616" s="1285">
        <f t="shared" si="4"/>
        <v>0</v>
      </c>
      <c r="BT616" s="1286"/>
      <c r="BU616" s="1286"/>
      <c r="BV616" s="1286"/>
      <c r="BW616" s="1287"/>
      <c r="BX616" s="1285">
        <f t="shared" si="5"/>
        <v>0</v>
      </c>
      <c r="BY616" s="1286"/>
      <c r="BZ616" s="1286"/>
      <c r="CA616" s="1286"/>
      <c r="CB616" s="1287"/>
      <c r="CC616" s="1285">
        <f t="shared" si="6"/>
        <v>0</v>
      </c>
      <c r="CD616" s="1286"/>
      <c r="CE616" s="1286"/>
      <c r="CF616" s="1286"/>
      <c r="CG616" s="1287"/>
      <c r="CH616" s="1285">
        <f t="shared" si="7"/>
        <v>0</v>
      </c>
      <c r="CI616" s="1286"/>
      <c r="CJ616" s="1286"/>
      <c r="CK616" s="1286"/>
      <c r="CL616" s="1287"/>
      <c r="CM616" s="1294">
        <f t="shared" si="8"/>
        <v>0</v>
      </c>
      <c r="CN616" s="1295"/>
      <c r="CO616" s="1295"/>
      <c r="CP616" s="1295"/>
      <c r="CQ616" s="1296"/>
      <c r="CS616" s="1297">
        <f t="shared" si="11"/>
        <v>0</v>
      </c>
      <c r="CT616" s="1298"/>
      <c r="CU616" s="1298"/>
      <c r="CV616" s="1298"/>
      <c r="CW616" s="1299"/>
      <c r="CX616" s="1297">
        <f t="shared" si="12"/>
        <v>0</v>
      </c>
      <c r="CY616" s="1298"/>
      <c r="CZ616" s="1298"/>
      <c r="DA616" s="1298"/>
      <c r="DB616" s="1299"/>
      <c r="DC616" s="1297">
        <f t="shared" si="13"/>
        <v>0</v>
      </c>
      <c r="DD616" s="1298"/>
      <c r="DE616" s="1298"/>
      <c r="DF616" s="1298"/>
      <c r="DG616" s="1299"/>
      <c r="DH616" s="1297">
        <f t="shared" si="14"/>
        <v>0</v>
      </c>
      <c r="DI616" s="1298"/>
      <c r="DJ616" s="1298"/>
      <c r="DK616" s="1298"/>
      <c r="DL616" s="1299"/>
      <c r="DM616" s="1297">
        <f t="shared" si="15"/>
        <v>0</v>
      </c>
      <c r="DN616" s="1298"/>
      <c r="DO616" s="1298"/>
      <c r="DP616" s="1298"/>
      <c r="DQ616" s="1299"/>
      <c r="DR616" s="1297">
        <f t="shared" si="16"/>
        <v>0</v>
      </c>
      <c r="DS616" s="1298"/>
      <c r="DT616" s="1298"/>
      <c r="DU616" s="1298"/>
      <c r="DV616" s="1299"/>
    </row>
    <row r="617" spans="1:126" ht="12.95" customHeight="1">
      <c r="B617" t="s">
        <v>836</v>
      </c>
      <c r="C617"/>
      <c r="N617" s="1084" t="s">
        <v>482</v>
      </c>
      <c r="O617" s="1084"/>
      <c r="U617" t="s">
        <v>836</v>
      </c>
      <c r="AG617" s="1084" t="s">
        <v>482</v>
      </c>
      <c r="AH617" s="1084"/>
      <c r="AZ617" s="41"/>
      <c r="BA617" s="41"/>
      <c r="BB617" s="41"/>
      <c r="BC617" s="41"/>
      <c r="BD617" s="41"/>
      <c r="BE617" s="1291">
        <f t="shared" si="9"/>
        <v>0</v>
      </c>
      <c r="BF617" s="1293"/>
      <c r="BG617" s="1285">
        <f t="shared" si="1"/>
        <v>0</v>
      </c>
      <c r="BH617" s="1287"/>
      <c r="BI617" s="1291">
        <f t="shared" si="10"/>
        <v>0</v>
      </c>
      <c r="BJ617" s="1293"/>
      <c r="BK617" s="1285">
        <f t="shared" si="2"/>
        <v>0</v>
      </c>
      <c r="BL617" s="1287"/>
      <c r="BN617" s="1285">
        <f t="shared" si="3"/>
        <v>0</v>
      </c>
      <c r="BO617" s="1286"/>
      <c r="BP617" s="1286"/>
      <c r="BQ617" s="1286"/>
      <c r="BR617" s="1296"/>
      <c r="BS617" s="1285">
        <f t="shared" si="4"/>
        <v>0</v>
      </c>
      <c r="BT617" s="1286"/>
      <c r="BU617" s="1286"/>
      <c r="BV617" s="1286"/>
      <c r="BW617" s="1287"/>
      <c r="BX617" s="1285">
        <f t="shared" si="5"/>
        <v>0</v>
      </c>
      <c r="BY617" s="1286"/>
      <c r="BZ617" s="1286"/>
      <c r="CA617" s="1286"/>
      <c r="CB617" s="1287"/>
      <c r="CC617" s="1285">
        <f t="shared" si="6"/>
        <v>0</v>
      </c>
      <c r="CD617" s="1286"/>
      <c r="CE617" s="1286"/>
      <c r="CF617" s="1286"/>
      <c r="CG617" s="1287"/>
      <c r="CH617" s="1285">
        <f t="shared" si="7"/>
        <v>0</v>
      </c>
      <c r="CI617" s="1286"/>
      <c r="CJ617" s="1286"/>
      <c r="CK617" s="1286"/>
      <c r="CL617" s="1287"/>
      <c r="CM617" s="1294">
        <f t="shared" si="8"/>
        <v>0</v>
      </c>
      <c r="CN617" s="1295"/>
      <c r="CO617" s="1295"/>
      <c r="CP617" s="1295"/>
      <c r="CQ617" s="1296"/>
      <c r="CS617" s="1297">
        <f t="shared" si="11"/>
        <v>0</v>
      </c>
      <c r="CT617" s="1298"/>
      <c r="CU617" s="1298"/>
      <c r="CV617" s="1298"/>
      <c r="CW617" s="1299"/>
      <c r="CX617" s="1297">
        <f t="shared" si="12"/>
        <v>0</v>
      </c>
      <c r="CY617" s="1298"/>
      <c r="CZ617" s="1298"/>
      <c r="DA617" s="1298"/>
      <c r="DB617" s="1299"/>
      <c r="DC617" s="1297">
        <f t="shared" si="13"/>
        <v>0</v>
      </c>
      <c r="DD617" s="1298"/>
      <c r="DE617" s="1298"/>
      <c r="DF617" s="1298"/>
      <c r="DG617" s="1299"/>
      <c r="DH617" s="1297">
        <f t="shared" si="14"/>
        <v>0</v>
      </c>
      <c r="DI617" s="1298"/>
      <c r="DJ617" s="1298"/>
      <c r="DK617" s="1298"/>
      <c r="DL617" s="1299"/>
      <c r="DM617" s="1297">
        <f t="shared" si="15"/>
        <v>0</v>
      </c>
      <c r="DN617" s="1298"/>
      <c r="DO617" s="1298"/>
      <c r="DP617" s="1298"/>
      <c r="DQ617" s="1299"/>
      <c r="DR617" s="1297">
        <f t="shared" si="16"/>
        <v>0</v>
      </c>
      <c r="DS617" s="1298"/>
      <c r="DT617" s="1298"/>
      <c r="DU617" s="1298"/>
      <c r="DV617" s="1299"/>
    </row>
    <row r="618" spans="1:126" ht="12.95" customHeight="1">
      <c r="C618"/>
      <c r="AZ618" s="41"/>
      <c r="BA618" s="41"/>
      <c r="BB618" s="41"/>
      <c r="BC618" s="41"/>
      <c r="BD618" s="41"/>
      <c r="BE618" s="1291">
        <f t="shared" si="9"/>
        <v>0</v>
      </c>
      <c r="BF618" s="1293"/>
      <c r="BG618" s="1285">
        <f t="shared" si="1"/>
        <v>0</v>
      </c>
      <c r="BH618" s="1287"/>
      <c r="BI618" s="1291">
        <f t="shared" si="10"/>
        <v>0</v>
      </c>
      <c r="BJ618" s="1293"/>
      <c r="BK618" s="1285">
        <f t="shared" si="2"/>
        <v>0</v>
      </c>
      <c r="BL618" s="1287"/>
      <c r="BN618" s="1285">
        <f t="shared" si="3"/>
        <v>0</v>
      </c>
      <c r="BO618" s="1286"/>
      <c r="BP618" s="1286"/>
      <c r="BQ618" s="1286"/>
      <c r="BR618" s="1296"/>
      <c r="BS618" s="1285">
        <f t="shared" si="4"/>
        <v>0</v>
      </c>
      <c r="BT618" s="1286"/>
      <c r="BU618" s="1286"/>
      <c r="BV618" s="1286"/>
      <c r="BW618" s="1287"/>
      <c r="BX618" s="1285">
        <f t="shared" si="5"/>
        <v>0</v>
      </c>
      <c r="BY618" s="1286"/>
      <c r="BZ618" s="1286"/>
      <c r="CA618" s="1286"/>
      <c r="CB618" s="1287"/>
      <c r="CC618" s="1285">
        <f t="shared" si="6"/>
        <v>0</v>
      </c>
      <c r="CD618" s="1286"/>
      <c r="CE618" s="1286"/>
      <c r="CF618" s="1286"/>
      <c r="CG618" s="1287"/>
      <c r="CH618" s="1285">
        <f t="shared" si="7"/>
        <v>0</v>
      </c>
      <c r="CI618" s="1286"/>
      <c r="CJ618" s="1286"/>
      <c r="CK618" s="1286"/>
      <c r="CL618" s="1287"/>
      <c r="CM618" s="1294">
        <f t="shared" si="8"/>
        <v>0</v>
      </c>
      <c r="CN618" s="1295"/>
      <c r="CO618" s="1295"/>
      <c r="CP618" s="1295"/>
      <c r="CQ618" s="1296"/>
      <c r="CS618" s="1297">
        <f t="shared" si="11"/>
        <v>0</v>
      </c>
      <c r="CT618" s="1298"/>
      <c r="CU618" s="1298"/>
      <c r="CV618" s="1298"/>
      <c r="CW618" s="1299"/>
      <c r="CX618" s="1297">
        <f t="shared" si="12"/>
        <v>0</v>
      </c>
      <c r="CY618" s="1298"/>
      <c r="CZ618" s="1298"/>
      <c r="DA618" s="1298"/>
      <c r="DB618" s="1299"/>
      <c r="DC618" s="1297">
        <f t="shared" si="13"/>
        <v>0</v>
      </c>
      <c r="DD618" s="1298"/>
      <c r="DE618" s="1298"/>
      <c r="DF618" s="1298"/>
      <c r="DG618" s="1299"/>
      <c r="DH618" s="1297">
        <f t="shared" si="14"/>
        <v>0</v>
      </c>
      <c r="DI618" s="1298"/>
      <c r="DJ618" s="1298"/>
      <c r="DK618" s="1298"/>
      <c r="DL618" s="1299"/>
      <c r="DM618" s="1297">
        <f t="shared" si="15"/>
        <v>0</v>
      </c>
      <c r="DN618" s="1298"/>
      <c r="DO618" s="1298"/>
      <c r="DP618" s="1298"/>
      <c r="DQ618" s="1299"/>
      <c r="DR618" s="1297">
        <f t="shared" si="16"/>
        <v>0</v>
      </c>
      <c r="DS618" s="1298"/>
      <c r="DT618" s="1298"/>
      <c r="DU618" s="1298"/>
      <c r="DV618" s="1299"/>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91">
        <f t="shared" si="9"/>
        <v>0</v>
      </c>
      <c r="BF619" s="1293"/>
      <c r="BG619" s="1285">
        <f t="shared" si="1"/>
        <v>0</v>
      </c>
      <c r="BH619" s="1287"/>
      <c r="BI619" s="1291">
        <f t="shared" si="10"/>
        <v>0</v>
      </c>
      <c r="BJ619" s="1293"/>
      <c r="BK619" s="1285">
        <f t="shared" si="2"/>
        <v>0</v>
      </c>
      <c r="BL619" s="1287"/>
      <c r="BN619" s="1285">
        <f t="shared" si="3"/>
        <v>0</v>
      </c>
      <c r="BO619" s="1286"/>
      <c r="BP619" s="1286"/>
      <c r="BQ619" s="1286"/>
      <c r="BR619" s="1296"/>
      <c r="BS619" s="1285">
        <f t="shared" si="4"/>
        <v>0</v>
      </c>
      <c r="BT619" s="1286"/>
      <c r="BU619" s="1286"/>
      <c r="BV619" s="1286"/>
      <c r="BW619" s="1287"/>
      <c r="BX619" s="1285">
        <f t="shared" si="5"/>
        <v>0</v>
      </c>
      <c r="BY619" s="1286"/>
      <c r="BZ619" s="1286"/>
      <c r="CA619" s="1286"/>
      <c r="CB619" s="1287"/>
      <c r="CC619" s="1285">
        <f t="shared" si="6"/>
        <v>0</v>
      </c>
      <c r="CD619" s="1286"/>
      <c r="CE619" s="1286"/>
      <c r="CF619" s="1286"/>
      <c r="CG619" s="1287"/>
      <c r="CH619" s="1285">
        <f t="shared" si="7"/>
        <v>0</v>
      </c>
      <c r="CI619" s="1286"/>
      <c r="CJ619" s="1286"/>
      <c r="CK619" s="1286"/>
      <c r="CL619" s="1287"/>
      <c r="CM619" s="1294">
        <f t="shared" si="8"/>
        <v>0</v>
      </c>
      <c r="CN619" s="1295"/>
      <c r="CO619" s="1295"/>
      <c r="CP619" s="1295"/>
      <c r="CQ619" s="1296"/>
      <c r="CS619" s="1297">
        <f t="shared" si="11"/>
        <v>0</v>
      </c>
      <c r="CT619" s="1298"/>
      <c r="CU619" s="1298"/>
      <c r="CV619" s="1298"/>
      <c r="CW619" s="1299"/>
      <c r="CX619" s="1297">
        <f t="shared" si="12"/>
        <v>0</v>
      </c>
      <c r="CY619" s="1298"/>
      <c r="CZ619" s="1298"/>
      <c r="DA619" s="1298"/>
      <c r="DB619" s="1299"/>
      <c r="DC619" s="1297">
        <f t="shared" si="13"/>
        <v>0</v>
      </c>
      <c r="DD619" s="1298"/>
      <c r="DE619" s="1298"/>
      <c r="DF619" s="1298"/>
      <c r="DG619" s="1299"/>
      <c r="DH619" s="1297">
        <f t="shared" si="14"/>
        <v>0</v>
      </c>
      <c r="DI619" s="1298"/>
      <c r="DJ619" s="1298"/>
      <c r="DK619" s="1298"/>
      <c r="DL619" s="1299"/>
      <c r="DM619" s="1297">
        <f t="shared" si="15"/>
        <v>0</v>
      </c>
      <c r="DN619" s="1298"/>
      <c r="DO619" s="1298"/>
      <c r="DP619" s="1298"/>
      <c r="DQ619" s="1299"/>
      <c r="DR619" s="1297">
        <f t="shared" si="16"/>
        <v>0</v>
      </c>
      <c r="DS619" s="1298"/>
      <c r="DT619" s="1298"/>
      <c r="DU619" s="1298"/>
      <c r="DV619" s="1299"/>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91">
        <f t="shared" si="9"/>
        <v>0</v>
      </c>
      <c r="BF620" s="1293"/>
      <c r="BG620" s="1285">
        <f t="shared" si="1"/>
        <v>0</v>
      </c>
      <c r="BH620" s="1287"/>
      <c r="BI620" s="1291">
        <f t="shared" si="10"/>
        <v>0</v>
      </c>
      <c r="BJ620" s="1293"/>
      <c r="BK620" s="1285">
        <f t="shared" si="2"/>
        <v>0</v>
      </c>
      <c r="BL620" s="1287"/>
      <c r="BN620" s="1285">
        <f t="shared" si="3"/>
        <v>0</v>
      </c>
      <c r="BO620" s="1286"/>
      <c r="BP620" s="1286"/>
      <c r="BQ620" s="1286"/>
      <c r="BR620" s="1296"/>
      <c r="BS620" s="1285">
        <f t="shared" si="4"/>
        <v>0</v>
      </c>
      <c r="BT620" s="1286"/>
      <c r="BU620" s="1286"/>
      <c r="BV620" s="1286"/>
      <c r="BW620" s="1287"/>
      <c r="BX620" s="1285">
        <f t="shared" si="5"/>
        <v>0</v>
      </c>
      <c r="BY620" s="1286"/>
      <c r="BZ620" s="1286"/>
      <c r="CA620" s="1286"/>
      <c r="CB620" s="1287"/>
      <c r="CC620" s="1285">
        <f t="shared" si="6"/>
        <v>0</v>
      </c>
      <c r="CD620" s="1286"/>
      <c r="CE620" s="1286"/>
      <c r="CF620" s="1286"/>
      <c r="CG620" s="1287"/>
      <c r="CH620" s="1285">
        <f t="shared" si="7"/>
        <v>0</v>
      </c>
      <c r="CI620" s="1286"/>
      <c r="CJ620" s="1286"/>
      <c r="CK620" s="1286"/>
      <c r="CL620" s="1287"/>
      <c r="CM620" s="1294">
        <f t="shared" si="8"/>
        <v>0</v>
      </c>
      <c r="CN620" s="1295"/>
      <c r="CO620" s="1295"/>
      <c r="CP620" s="1295"/>
      <c r="CQ620" s="1296"/>
      <c r="CS620" s="1297">
        <f t="shared" si="11"/>
        <v>0</v>
      </c>
      <c r="CT620" s="1298"/>
      <c r="CU620" s="1298"/>
      <c r="CV620" s="1298"/>
      <c r="CW620" s="1299"/>
      <c r="CX620" s="1297">
        <f t="shared" si="12"/>
        <v>0</v>
      </c>
      <c r="CY620" s="1298"/>
      <c r="CZ620" s="1298"/>
      <c r="DA620" s="1298"/>
      <c r="DB620" s="1299"/>
      <c r="DC620" s="1297">
        <f t="shared" si="13"/>
        <v>0</v>
      </c>
      <c r="DD620" s="1298"/>
      <c r="DE620" s="1298"/>
      <c r="DF620" s="1298"/>
      <c r="DG620" s="1299"/>
      <c r="DH620" s="1297">
        <f t="shared" si="14"/>
        <v>0</v>
      </c>
      <c r="DI620" s="1298"/>
      <c r="DJ620" s="1298"/>
      <c r="DK620" s="1298"/>
      <c r="DL620" s="1299"/>
      <c r="DM620" s="1297">
        <f t="shared" si="15"/>
        <v>0</v>
      </c>
      <c r="DN620" s="1298"/>
      <c r="DO620" s="1298"/>
      <c r="DP620" s="1298"/>
      <c r="DQ620" s="1299"/>
      <c r="DR620" s="1297">
        <f t="shared" si="16"/>
        <v>0</v>
      </c>
      <c r="DS620" s="1298"/>
      <c r="DT620" s="1298"/>
      <c r="DU620" s="1298"/>
      <c r="DV620" s="1299"/>
    </row>
    <row r="621" spans="1:126" ht="12.95" customHeight="1">
      <c r="C621"/>
      <c r="AZ621" s="41"/>
      <c r="BA621" s="41"/>
      <c r="BB621" s="41"/>
      <c r="BC621" s="41"/>
      <c r="BD621" s="41"/>
      <c r="BE621" s="1291">
        <f t="shared" si="9"/>
        <v>0</v>
      </c>
      <c r="BF621" s="1293"/>
      <c r="BG621" s="1285">
        <f t="shared" si="1"/>
        <v>0</v>
      </c>
      <c r="BH621" s="1287"/>
      <c r="BI621" s="1291">
        <f t="shared" si="10"/>
        <v>0</v>
      </c>
      <c r="BJ621" s="1293"/>
      <c r="BK621" s="1285">
        <f t="shared" si="2"/>
        <v>0</v>
      </c>
      <c r="BL621" s="1287"/>
      <c r="BN621" s="1285">
        <f t="shared" si="3"/>
        <v>0</v>
      </c>
      <c r="BO621" s="1286"/>
      <c r="BP621" s="1286"/>
      <c r="BQ621" s="1286"/>
      <c r="BR621" s="1296"/>
      <c r="BS621" s="1285">
        <f t="shared" si="4"/>
        <v>0</v>
      </c>
      <c r="BT621" s="1286"/>
      <c r="BU621" s="1286"/>
      <c r="BV621" s="1286"/>
      <c r="BW621" s="1287"/>
      <c r="BX621" s="1285">
        <f t="shared" si="5"/>
        <v>0</v>
      </c>
      <c r="BY621" s="1286"/>
      <c r="BZ621" s="1286"/>
      <c r="CA621" s="1286"/>
      <c r="CB621" s="1287"/>
      <c r="CC621" s="1285">
        <f t="shared" si="6"/>
        <v>0</v>
      </c>
      <c r="CD621" s="1286"/>
      <c r="CE621" s="1286"/>
      <c r="CF621" s="1286"/>
      <c r="CG621" s="1287"/>
      <c r="CH621" s="1285">
        <f t="shared" si="7"/>
        <v>0</v>
      </c>
      <c r="CI621" s="1286"/>
      <c r="CJ621" s="1286"/>
      <c r="CK621" s="1286"/>
      <c r="CL621" s="1287"/>
      <c r="CM621" s="1294">
        <f t="shared" si="8"/>
        <v>0</v>
      </c>
      <c r="CN621" s="1295"/>
      <c r="CO621" s="1295"/>
      <c r="CP621" s="1295"/>
      <c r="CQ621" s="1296"/>
      <c r="CS621" s="1297">
        <f t="shared" si="11"/>
        <v>0</v>
      </c>
      <c r="CT621" s="1298"/>
      <c r="CU621" s="1298"/>
      <c r="CV621" s="1298"/>
      <c r="CW621" s="1299"/>
      <c r="CX621" s="1297">
        <f t="shared" si="12"/>
        <v>0</v>
      </c>
      <c r="CY621" s="1298"/>
      <c r="CZ621" s="1298"/>
      <c r="DA621" s="1298"/>
      <c r="DB621" s="1299"/>
      <c r="DC621" s="1297">
        <f t="shared" si="13"/>
        <v>0</v>
      </c>
      <c r="DD621" s="1298"/>
      <c r="DE621" s="1298"/>
      <c r="DF621" s="1298"/>
      <c r="DG621" s="1299"/>
      <c r="DH621" s="1297">
        <f t="shared" si="14"/>
        <v>0</v>
      </c>
      <c r="DI621" s="1298"/>
      <c r="DJ621" s="1298"/>
      <c r="DK621" s="1298"/>
      <c r="DL621" s="1299"/>
      <c r="DM621" s="1297">
        <f t="shared" si="15"/>
        <v>0</v>
      </c>
      <c r="DN621" s="1298"/>
      <c r="DO621" s="1298"/>
      <c r="DP621" s="1298"/>
      <c r="DQ621" s="1299"/>
      <c r="DR621" s="1297">
        <f t="shared" si="16"/>
        <v>0</v>
      </c>
      <c r="DS621" s="1298"/>
      <c r="DT621" s="1298"/>
      <c r="DU621" s="1298"/>
      <c r="DV621" s="1299"/>
    </row>
    <row r="622" spans="1:126" ht="12.95" customHeight="1">
      <c r="A622" s="3" t="s">
        <v>653</v>
      </c>
      <c r="B622" s="3"/>
      <c r="C622" s="3" t="s">
        <v>837</v>
      </c>
      <c r="AZ622" s="41"/>
      <c r="BA622" s="41"/>
      <c r="BB622" s="41"/>
      <c r="BC622" s="41"/>
      <c r="BD622" s="41"/>
      <c r="BE622" s="1291">
        <f t="shared" si="9"/>
        <v>0</v>
      </c>
      <c r="BF622" s="1293"/>
      <c r="BG622" s="1285">
        <f t="shared" si="1"/>
        <v>0</v>
      </c>
      <c r="BH622" s="1287"/>
      <c r="BI622" s="1291">
        <f t="shared" si="10"/>
        <v>0</v>
      </c>
      <c r="BJ622" s="1293"/>
      <c r="BK622" s="1285">
        <f t="shared" si="2"/>
        <v>0</v>
      </c>
      <c r="BL622" s="1287"/>
      <c r="BN622" s="1285">
        <f t="shared" si="3"/>
        <v>0</v>
      </c>
      <c r="BO622" s="1286"/>
      <c r="BP622" s="1286"/>
      <c r="BQ622" s="1286"/>
      <c r="BR622" s="1296"/>
      <c r="BS622" s="1285">
        <f t="shared" si="4"/>
        <v>0</v>
      </c>
      <c r="BT622" s="1286"/>
      <c r="BU622" s="1286"/>
      <c r="BV622" s="1286"/>
      <c r="BW622" s="1287"/>
      <c r="BX622" s="1285">
        <f t="shared" si="5"/>
        <v>0</v>
      </c>
      <c r="BY622" s="1286"/>
      <c r="BZ622" s="1286"/>
      <c r="CA622" s="1286"/>
      <c r="CB622" s="1287"/>
      <c r="CC622" s="1285">
        <f t="shared" si="6"/>
        <v>0</v>
      </c>
      <c r="CD622" s="1286"/>
      <c r="CE622" s="1286"/>
      <c r="CF622" s="1286"/>
      <c r="CG622" s="1287"/>
      <c r="CH622" s="1285">
        <f t="shared" si="7"/>
        <v>0</v>
      </c>
      <c r="CI622" s="1286"/>
      <c r="CJ622" s="1286"/>
      <c r="CK622" s="1286"/>
      <c r="CL622" s="1287"/>
      <c r="CM622" s="1294">
        <f t="shared" si="8"/>
        <v>0</v>
      </c>
      <c r="CN622" s="1295"/>
      <c r="CO622" s="1295"/>
      <c r="CP622" s="1295"/>
      <c r="CQ622" s="1296"/>
      <c r="CS622" s="1297">
        <f t="shared" si="11"/>
        <v>0</v>
      </c>
      <c r="CT622" s="1298"/>
      <c r="CU622" s="1298"/>
      <c r="CV622" s="1298"/>
      <c r="CW622" s="1299"/>
      <c r="CX622" s="1297">
        <f t="shared" si="12"/>
        <v>0</v>
      </c>
      <c r="CY622" s="1298"/>
      <c r="CZ622" s="1298"/>
      <c r="DA622" s="1298"/>
      <c r="DB622" s="1299"/>
      <c r="DC622" s="1297">
        <f t="shared" si="13"/>
        <v>0</v>
      </c>
      <c r="DD622" s="1298"/>
      <c r="DE622" s="1298"/>
      <c r="DF622" s="1298"/>
      <c r="DG622" s="1299"/>
      <c r="DH622" s="1297">
        <f t="shared" si="14"/>
        <v>0</v>
      </c>
      <c r="DI622" s="1298"/>
      <c r="DJ622" s="1298"/>
      <c r="DK622" s="1298"/>
      <c r="DL622" s="1299"/>
      <c r="DM622" s="1297">
        <f t="shared" si="15"/>
        <v>0</v>
      </c>
      <c r="DN622" s="1298"/>
      <c r="DO622" s="1298"/>
      <c r="DP622" s="1298"/>
      <c r="DQ622" s="1299"/>
      <c r="DR622" s="1297">
        <f t="shared" si="16"/>
        <v>0</v>
      </c>
      <c r="DS622" s="1298"/>
      <c r="DT622" s="1298"/>
      <c r="DU622" s="1298"/>
      <c r="DV622" s="1299"/>
    </row>
    <row r="623" spans="1:126" ht="12.95" customHeight="1">
      <c r="A623" s="3"/>
      <c r="B623" s="3"/>
      <c r="C623" s="3"/>
      <c r="AZ623" s="41"/>
      <c r="BA623" s="41"/>
      <c r="BB623" s="41"/>
      <c r="BC623" s="41"/>
      <c r="BD623" s="41"/>
      <c r="BE623" s="1291">
        <f t="shared" si="9"/>
        <v>0</v>
      </c>
      <c r="BF623" s="1293"/>
      <c r="BG623" s="1285">
        <f t="shared" si="1"/>
        <v>0</v>
      </c>
      <c r="BH623" s="1287"/>
      <c r="BI623" s="1291">
        <f t="shared" si="10"/>
        <v>0</v>
      </c>
      <c r="BJ623" s="1293"/>
      <c r="BK623" s="1285">
        <f t="shared" si="2"/>
        <v>0</v>
      </c>
      <c r="BL623" s="1287"/>
      <c r="BN623" s="1285">
        <f t="shared" si="3"/>
        <v>0</v>
      </c>
      <c r="BO623" s="1286"/>
      <c r="BP623" s="1286"/>
      <c r="BQ623" s="1286"/>
      <c r="BR623" s="1296"/>
      <c r="BS623" s="1285">
        <f t="shared" si="4"/>
        <v>0</v>
      </c>
      <c r="BT623" s="1286"/>
      <c r="BU623" s="1286"/>
      <c r="BV623" s="1286"/>
      <c r="BW623" s="1287"/>
      <c r="BX623" s="1285">
        <f t="shared" si="5"/>
        <v>0</v>
      </c>
      <c r="BY623" s="1286"/>
      <c r="BZ623" s="1286"/>
      <c r="CA623" s="1286"/>
      <c r="CB623" s="1287"/>
      <c r="CC623" s="1285">
        <f t="shared" si="6"/>
        <v>0</v>
      </c>
      <c r="CD623" s="1286"/>
      <c r="CE623" s="1286"/>
      <c r="CF623" s="1286"/>
      <c r="CG623" s="1287"/>
      <c r="CH623" s="1285">
        <f t="shared" si="7"/>
        <v>0</v>
      </c>
      <c r="CI623" s="1286"/>
      <c r="CJ623" s="1286"/>
      <c r="CK623" s="1286"/>
      <c r="CL623" s="1287"/>
      <c r="CM623" s="1294">
        <f t="shared" si="8"/>
        <v>0</v>
      </c>
      <c r="CN623" s="1295"/>
      <c r="CO623" s="1295"/>
      <c r="CP623" s="1295"/>
      <c r="CQ623" s="1296"/>
      <c r="CS623" s="1297">
        <f t="shared" si="11"/>
        <v>0</v>
      </c>
      <c r="CT623" s="1298"/>
      <c r="CU623" s="1298"/>
      <c r="CV623" s="1298"/>
      <c r="CW623" s="1299"/>
      <c r="CX623" s="1297">
        <f t="shared" si="12"/>
        <v>0</v>
      </c>
      <c r="CY623" s="1298"/>
      <c r="CZ623" s="1298"/>
      <c r="DA623" s="1298"/>
      <c r="DB623" s="1299"/>
      <c r="DC623" s="1297">
        <f t="shared" si="13"/>
        <v>0</v>
      </c>
      <c r="DD623" s="1298"/>
      <c r="DE623" s="1298"/>
      <c r="DF623" s="1298"/>
      <c r="DG623" s="1299"/>
      <c r="DH623" s="1297">
        <f t="shared" si="14"/>
        <v>0</v>
      </c>
      <c r="DI623" s="1298"/>
      <c r="DJ623" s="1298"/>
      <c r="DK623" s="1298"/>
      <c r="DL623" s="1299"/>
      <c r="DM623" s="1297">
        <f t="shared" si="15"/>
        <v>0</v>
      </c>
      <c r="DN623" s="1298"/>
      <c r="DO623" s="1298"/>
      <c r="DP623" s="1298"/>
      <c r="DQ623" s="1299"/>
      <c r="DR623" s="1297">
        <f t="shared" si="16"/>
        <v>0</v>
      </c>
      <c r="DS623" s="1298"/>
      <c r="DT623" s="1298"/>
      <c r="DU623" s="1298"/>
      <c r="DV623" s="1299"/>
    </row>
    <row r="624" spans="1:126" ht="12.95" customHeight="1">
      <c r="C624" s="3" t="s">
        <v>2111</v>
      </c>
      <c r="AZ624" s="41"/>
      <c r="BA624" s="41"/>
      <c r="BB624" s="41"/>
      <c r="BC624" s="41"/>
      <c r="BD624" s="41"/>
      <c r="BE624" s="1291">
        <f t="shared" ref="BE624:BE633" si="17">IF(AND(AH727&lt;=0.5,AH727&gt;=0.36),1,0)</f>
        <v>0</v>
      </c>
      <c r="BF624" s="1293"/>
      <c r="BG624" s="1285">
        <f t="shared" ref="BG624:BG633" si="18">IF(BE624=1,G727,0)</f>
        <v>0</v>
      </c>
      <c r="BH624" s="1287"/>
      <c r="BI624" s="1291">
        <f t="shared" ref="BI624:BI633" si="19">IF(AND(AH727&lt;=0.35,AH727&gt;0),1,0)</f>
        <v>0</v>
      </c>
      <c r="BJ624" s="1293"/>
      <c r="BK624" s="1285">
        <f t="shared" ref="BK624:BK633" si="20">IF(BI624=1,G727,0)</f>
        <v>0</v>
      </c>
      <c r="BL624" s="1287"/>
      <c r="BN624" s="1285">
        <f t="shared" si="3"/>
        <v>0</v>
      </c>
      <c r="BO624" s="1286"/>
      <c r="BP624" s="1286"/>
      <c r="BQ624" s="1286"/>
      <c r="BR624" s="1296"/>
      <c r="BS624" s="1285">
        <f t="shared" si="4"/>
        <v>0</v>
      </c>
      <c r="BT624" s="1286"/>
      <c r="BU624" s="1286"/>
      <c r="BV624" s="1286"/>
      <c r="BW624" s="1287"/>
      <c r="BX624" s="1285">
        <f t="shared" si="5"/>
        <v>0</v>
      </c>
      <c r="BY624" s="1286"/>
      <c r="BZ624" s="1286"/>
      <c r="CA624" s="1286"/>
      <c r="CB624" s="1287"/>
      <c r="CC624" s="1285">
        <f t="shared" si="6"/>
        <v>0</v>
      </c>
      <c r="CD624" s="1286"/>
      <c r="CE624" s="1286"/>
      <c r="CF624" s="1286"/>
      <c r="CG624" s="1287"/>
      <c r="CH624" s="1285">
        <f t="shared" si="7"/>
        <v>0</v>
      </c>
      <c r="CI624" s="1286"/>
      <c r="CJ624" s="1286"/>
      <c r="CK624" s="1286"/>
      <c r="CL624" s="1287"/>
      <c r="CM624" s="1294">
        <f t="shared" si="8"/>
        <v>0</v>
      </c>
      <c r="CN624" s="1295"/>
      <c r="CO624" s="1295"/>
      <c r="CP624" s="1295"/>
      <c r="CQ624" s="1296"/>
      <c r="CS624" s="1297">
        <f t="shared" ref="CS624:CS633" si="21">IF(AND(B727="SRO/Studio",AH727&lt;=0.3),G727,0)</f>
        <v>0</v>
      </c>
      <c r="CT624" s="1298"/>
      <c r="CU624" s="1298"/>
      <c r="CV624" s="1298"/>
      <c r="CW624" s="1299"/>
      <c r="CX624" s="1297">
        <f t="shared" ref="CX624:CX633" si="22">IF(AND(B727="1 Bedroom",AH727&lt;=0.3),G727,0)</f>
        <v>0</v>
      </c>
      <c r="CY624" s="1298"/>
      <c r="CZ624" s="1298"/>
      <c r="DA624" s="1298"/>
      <c r="DB624" s="1299"/>
      <c r="DC624" s="1297">
        <f t="shared" ref="DC624:DC633" si="23">IF(AND(B727="2 Bedrooms",AH727&lt;=0.3),G727,0)</f>
        <v>0</v>
      </c>
      <c r="DD624" s="1298"/>
      <c r="DE624" s="1298"/>
      <c r="DF624" s="1298"/>
      <c r="DG624" s="1299"/>
      <c r="DH624" s="1297">
        <f t="shared" ref="DH624:DH633" si="24">IF(AND(B727="3 Bedrooms",AH727&lt;=0.3),G727,0)</f>
        <v>0</v>
      </c>
      <c r="DI624" s="1298"/>
      <c r="DJ624" s="1298"/>
      <c r="DK624" s="1298"/>
      <c r="DL624" s="1299"/>
      <c r="DM624" s="1297">
        <f t="shared" ref="DM624:DM633" si="25">IF(AND(B727="4 Bedrooms",AH727&lt;=0.3),G727,0)</f>
        <v>0</v>
      </c>
      <c r="DN624" s="1298"/>
      <c r="DO624" s="1298"/>
      <c r="DP624" s="1298"/>
      <c r="DQ624" s="1299"/>
      <c r="DR624" s="1297">
        <f t="shared" ref="DR624:DR633" si="26">IF(AND(B727="5 Bedrooms",AH727&lt;=0.3),G727,0)</f>
        <v>0</v>
      </c>
      <c r="DS624" s="1298"/>
      <c r="DT624" s="1298"/>
      <c r="DU624" s="1298"/>
      <c r="DV624" s="1299"/>
    </row>
    <row r="625" spans="2:126" ht="12.95" customHeight="1">
      <c r="B625" s="836"/>
      <c r="C625" s="3"/>
      <c r="AZ625" s="41"/>
      <c r="BA625" s="41"/>
      <c r="BB625" s="41"/>
      <c r="BC625" s="41"/>
      <c r="BD625" s="41"/>
      <c r="BE625" s="1291">
        <f t="shared" si="17"/>
        <v>0</v>
      </c>
      <c r="BF625" s="1293"/>
      <c r="BG625" s="1285">
        <f t="shared" si="18"/>
        <v>0</v>
      </c>
      <c r="BH625" s="1287"/>
      <c r="BI625" s="1291">
        <f t="shared" si="19"/>
        <v>0</v>
      </c>
      <c r="BJ625" s="1293"/>
      <c r="BK625" s="1285">
        <f t="shared" si="20"/>
        <v>0</v>
      </c>
      <c r="BL625" s="1287"/>
      <c r="BN625" s="1285">
        <f t="shared" si="3"/>
        <v>0</v>
      </c>
      <c r="BO625" s="1286"/>
      <c r="BP625" s="1286"/>
      <c r="BQ625" s="1286"/>
      <c r="BR625" s="1296"/>
      <c r="BS625" s="1285">
        <f t="shared" si="4"/>
        <v>0</v>
      </c>
      <c r="BT625" s="1286"/>
      <c r="BU625" s="1286"/>
      <c r="BV625" s="1286"/>
      <c r="BW625" s="1287"/>
      <c r="BX625" s="1285">
        <f t="shared" si="5"/>
        <v>0</v>
      </c>
      <c r="BY625" s="1286"/>
      <c r="BZ625" s="1286"/>
      <c r="CA625" s="1286"/>
      <c r="CB625" s="1287"/>
      <c r="CC625" s="1285">
        <f t="shared" si="6"/>
        <v>0</v>
      </c>
      <c r="CD625" s="1286"/>
      <c r="CE625" s="1286"/>
      <c r="CF625" s="1286"/>
      <c r="CG625" s="1287"/>
      <c r="CH625" s="1285">
        <f t="shared" si="7"/>
        <v>0</v>
      </c>
      <c r="CI625" s="1286"/>
      <c r="CJ625" s="1286"/>
      <c r="CK625" s="1286"/>
      <c r="CL625" s="1287"/>
      <c r="CM625" s="1294">
        <f t="shared" si="8"/>
        <v>0</v>
      </c>
      <c r="CN625" s="1295"/>
      <c r="CO625" s="1295"/>
      <c r="CP625" s="1295"/>
      <c r="CQ625" s="1296"/>
      <c r="CS625" s="1297">
        <f t="shared" si="21"/>
        <v>0</v>
      </c>
      <c r="CT625" s="1298"/>
      <c r="CU625" s="1298"/>
      <c r="CV625" s="1298"/>
      <c r="CW625" s="1299"/>
      <c r="CX625" s="1297">
        <f t="shared" si="22"/>
        <v>0</v>
      </c>
      <c r="CY625" s="1298"/>
      <c r="CZ625" s="1298"/>
      <c r="DA625" s="1298"/>
      <c r="DB625" s="1299"/>
      <c r="DC625" s="1297">
        <f t="shared" si="23"/>
        <v>0</v>
      </c>
      <c r="DD625" s="1298"/>
      <c r="DE625" s="1298"/>
      <c r="DF625" s="1298"/>
      <c r="DG625" s="1299"/>
      <c r="DH625" s="1297">
        <f t="shared" si="24"/>
        <v>0</v>
      </c>
      <c r="DI625" s="1298"/>
      <c r="DJ625" s="1298"/>
      <c r="DK625" s="1298"/>
      <c r="DL625" s="1299"/>
      <c r="DM625" s="1297">
        <f t="shared" si="25"/>
        <v>0</v>
      </c>
      <c r="DN625" s="1298"/>
      <c r="DO625" s="1298"/>
      <c r="DP625" s="1298"/>
      <c r="DQ625" s="1299"/>
      <c r="DR625" s="1297">
        <f t="shared" si="26"/>
        <v>0</v>
      </c>
      <c r="DS625" s="1298"/>
      <c r="DT625" s="1298"/>
      <c r="DU625" s="1298"/>
      <c r="DV625" s="1299"/>
    </row>
    <row r="626" spans="2:126" ht="12.95" customHeight="1">
      <c r="B626" s="1447" t="s">
        <v>2179</v>
      </c>
      <c r="C626" s="1448"/>
      <c r="D626" s="1448"/>
      <c r="E626" s="1448"/>
      <c r="F626" s="1448"/>
      <c r="G626" s="1448"/>
      <c r="H626" s="1448"/>
      <c r="I626" s="1448"/>
      <c r="J626" s="1448"/>
      <c r="K626" s="1448"/>
      <c r="L626" s="1448"/>
      <c r="M626" s="1437" t="s">
        <v>2153</v>
      </c>
      <c r="N626" s="1437"/>
      <c r="O626" s="1437"/>
      <c r="P626" s="1437"/>
      <c r="Q626" s="1366" t="s">
        <v>2183</v>
      </c>
      <c r="R626" s="1367"/>
      <c r="S626" s="1368"/>
      <c r="T626" s="1366" t="s">
        <v>2182</v>
      </c>
      <c r="U626" s="1367"/>
      <c r="V626" s="1368"/>
      <c r="W626" s="1453" t="s">
        <v>740</v>
      </c>
      <c r="X626" s="1453"/>
      <c r="Y626" s="1454"/>
      <c r="Z626" s="1437" t="s">
        <v>2180</v>
      </c>
      <c r="AA626" s="1437"/>
      <c r="AB626" s="1437"/>
      <c r="AC626" s="1462" t="s">
        <v>1978</v>
      </c>
      <c r="AD626" s="1463"/>
      <c r="AE626" s="1464"/>
      <c r="AF626" s="1366" t="s">
        <v>2112</v>
      </c>
      <c r="AG626" s="1367"/>
      <c r="AH626" s="1367"/>
      <c r="AI626" s="1367"/>
      <c r="AJ626" s="1368"/>
      <c r="AK626" s="1531" t="s">
        <v>2113</v>
      </c>
      <c r="AL626" s="1532"/>
      <c r="AM626" s="1532"/>
      <c r="AN626" s="1533"/>
      <c r="AO626" s="1437" t="s">
        <v>741</v>
      </c>
      <c r="AP626" s="1437"/>
      <c r="AQ626" s="1437"/>
      <c r="AR626" s="1437"/>
      <c r="AS626" s="1437"/>
      <c r="AT626" s="41"/>
      <c r="AU626" s="41"/>
      <c r="AV626" s="41"/>
      <c r="AW626" s="41"/>
      <c r="AX626" s="41"/>
      <c r="AY626" s="41"/>
      <c r="AZ626" s="41"/>
      <c r="BE626" s="1291">
        <f t="shared" si="17"/>
        <v>0</v>
      </c>
      <c r="BF626" s="1293"/>
      <c r="BG626" s="1285">
        <f t="shared" si="18"/>
        <v>0</v>
      </c>
      <c r="BH626" s="1287"/>
      <c r="BI626" s="1291">
        <f t="shared" si="19"/>
        <v>0</v>
      </c>
      <c r="BJ626" s="1293"/>
      <c r="BK626" s="1285">
        <f t="shared" si="20"/>
        <v>0</v>
      </c>
      <c r="BL626" s="1287"/>
      <c r="BN626" s="1285">
        <f t="shared" si="3"/>
        <v>0</v>
      </c>
      <c r="BO626" s="1286"/>
      <c r="BP626" s="1286"/>
      <c r="BQ626" s="1286"/>
      <c r="BR626" s="1296"/>
      <c r="BS626" s="1285">
        <f t="shared" si="4"/>
        <v>0</v>
      </c>
      <c r="BT626" s="1286"/>
      <c r="BU626" s="1286"/>
      <c r="BV626" s="1286"/>
      <c r="BW626" s="1287"/>
      <c r="BX626" s="1285">
        <f t="shared" si="5"/>
        <v>0</v>
      </c>
      <c r="BY626" s="1286"/>
      <c r="BZ626" s="1286"/>
      <c r="CA626" s="1286"/>
      <c r="CB626" s="1287"/>
      <c r="CC626" s="1285">
        <f t="shared" si="6"/>
        <v>0</v>
      </c>
      <c r="CD626" s="1286"/>
      <c r="CE626" s="1286"/>
      <c r="CF626" s="1286"/>
      <c r="CG626" s="1287"/>
      <c r="CH626" s="1285">
        <f t="shared" si="7"/>
        <v>0</v>
      </c>
      <c r="CI626" s="1286"/>
      <c r="CJ626" s="1286"/>
      <c r="CK626" s="1286"/>
      <c r="CL626" s="1287"/>
      <c r="CM626" s="1294">
        <f t="shared" si="8"/>
        <v>0</v>
      </c>
      <c r="CN626" s="1295"/>
      <c r="CO626" s="1295"/>
      <c r="CP626" s="1295"/>
      <c r="CQ626" s="1296"/>
      <c r="CS626" s="1297">
        <f t="shared" si="21"/>
        <v>0</v>
      </c>
      <c r="CT626" s="1298"/>
      <c r="CU626" s="1298"/>
      <c r="CV626" s="1298"/>
      <c r="CW626" s="1299"/>
      <c r="CX626" s="1297">
        <f t="shared" si="22"/>
        <v>0</v>
      </c>
      <c r="CY626" s="1298"/>
      <c r="CZ626" s="1298"/>
      <c r="DA626" s="1298"/>
      <c r="DB626" s="1299"/>
      <c r="DC626" s="1297">
        <f t="shared" si="23"/>
        <v>0</v>
      </c>
      <c r="DD626" s="1298"/>
      <c r="DE626" s="1298"/>
      <c r="DF626" s="1298"/>
      <c r="DG626" s="1299"/>
      <c r="DH626" s="1297">
        <f t="shared" si="24"/>
        <v>0</v>
      </c>
      <c r="DI626" s="1298"/>
      <c r="DJ626" s="1298"/>
      <c r="DK626" s="1298"/>
      <c r="DL626" s="1299"/>
      <c r="DM626" s="1297">
        <f t="shared" si="25"/>
        <v>0</v>
      </c>
      <c r="DN626" s="1298"/>
      <c r="DO626" s="1298"/>
      <c r="DP626" s="1298"/>
      <c r="DQ626" s="1299"/>
      <c r="DR626" s="1297">
        <f t="shared" si="26"/>
        <v>0</v>
      </c>
      <c r="DS626" s="1298"/>
      <c r="DT626" s="1298"/>
      <c r="DU626" s="1298"/>
      <c r="DV626" s="1299"/>
    </row>
    <row r="627" spans="2:126" ht="12.95" customHeight="1">
      <c r="B627" s="1449"/>
      <c r="C627" s="1450"/>
      <c r="D627" s="1450"/>
      <c r="E627" s="1450"/>
      <c r="F627" s="1450"/>
      <c r="G627" s="1450"/>
      <c r="H627" s="1450"/>
      <c r="I627" s="1450"/>
      <c r="J627" s="1450"/>
      <c r="K627" s="1450"/>
      <c r="L627" s="1450"/>
      <c r="M627" s="1437"/>
      <c r="N627" s="1437"/>
      <c r="O627" s="1437"/>
      <c r="P627" s="1437"/>
      <c r="Q627" s="1369"/>
      <c r="R627" s="1370"/>
      <c r="S627" s="1371"/>
      <c r="T627" s="1369"/>
      <c r="U627" s="1370"/>
      <c r="V627" s="1371"/>
      <c r="W627" s="1455"/>
      <c r="X627" s="1455"/>
      <c r="Y627" s="1456"/>
      <c r="Z627" s="1437"/>
      <c r="AA627" s="1437"/>
      <c r="AB627" s="1437"/>
      <c r="AC627" s="1465"/>
      <c r="AD627" s="1466"/>
      <c r="AE627" s="1467"/>
      <c r="AF627" s="1369"/>
      <c r="AG627" s="1370"/>
      <c r="AH627" s="1370"/>
      <c r="AI627" s="1370"/>
      <c r="AJ627" s="1371"/>
      <c r="AK627" s="1534"/>
      <c r="AL627" s="1535"/>
      <c r="AM627" s="1535"/>
      <c r="AN627" s="1536"/>
      <c r="AO627" s="1437"/>
      <c r="AP627" s="1437"/>
      <c r="AQ627" s="1437"/>
      <c r="AR627" s="1437"/>
      <c r="AS627" s="1437"/>
      <c r="AT627" s="41"/>
      <c r="AU627" s="41"/>
      <c r="AV627" s="41"/>
      <c r="AW627" s="41"/>
      <c r="AX627" s="41"/>
      <c r="AY627" s="41"/>
      <c r="AZ627" s="41"/>
      <c r="BE627" s="1291">
        <f t="shared" si="17"/>
        <v>0</v>
      </c>
      <c r="BF627" s="1293"/>
      <c r="BG627" s="1285">
        <f t="shared" si="18"/>
        <v>0</v>
      </c>
      <c r="BH627" s="1287"/>
      <c r="BI627" s="1291">
        <f t="shared" si="19"/>
        <v>0</v>
      </c>
      <c r="BJ627" s="1293"/>
      <c r="BK627" s="1285">
        <f t="shared" si="20"/>
        <v>0</v>
      </c>
      <c r="BL627" s="1287"/>
      <c r="BN627" s="1285">
        <f t="shared" si="3"/>
        <v>0</v>
      </c>
      <c r="BO627" s="1286"/>
      <c r="BP627" s="1286"/>
      <c r="BQ627" s="1286"/>
      <c r="BR627" s="1296"/>
      <c r="BS627" s="1285">
        <f t="shared" si="4"/>
        <v>0</v>
      </c>
      <c r="BT627" s="1286"/>
      <c r="BU627" s="1286"/>
      <c r="BV627" s="1286"/>
      <c r="BW627" s="1287"/>
      <c r="BX627" s="1285">
        <f t="shared" si="5"/>
        <v>0</v>
      </c>
      <c r="BY627" s="1286"/>
      <c r="BZ627" s="1286"/>
      <c r="CA627" s="1286"/>
      <c r="CB627" s="1287"/>
      <c r="CC627" s="1285">
        <f t="shared" si="6"/>
        <v>0</v>
      </c>
      <c r="CD627" s="1286"/>
      <c r="CE627" s="1286"/>
      <c r="CF627" s="1286"/>
      <c r="CG627" s="1287"/>
      <c r="CH627" s="1285">
        <f t="shared" si="7"/>
        <v>0</v>
      </c>
      <c r="CI627" s="1286"/>
      <c r="CJ627" s="1286"/>
      <c r="CK627" s="1286"/>
      <c r="CL627" s="1287"/>
      <c r="CM627" s="1294">
        <f t="shared" si="8"/>
        <v>0</v>
      </c>
      <c r="CN627" s="1295"/>
      <c r="CO627" s="1295"/>
      <c r="CP627" s="1295"/>
      <c r="CQ627" s="1296"/>
      <c r="CS627" s="1297">
        <f t="shared" si="21"/>
        <v>0</v>
      </c>
      <c r="CT627" s="1298"/>
      <c r="CU627" s="1298"/>
      <c r="CV627" s="1298"/>
      <c r="CW627" s="1299"/>
      <c r="CX627" s="1297">
        <f t="shared" si="22"/>
        <v>0</v>
      </c>
      <c r="CY627" s="1298"/>
      <c r="CZ627" s="1298"/>
      <c r="DA627" s="1298"/>
      <c r="DB627" s="1299"/>
      <c r="DC627" s="1297">
        <f t="shared" si="23"/>
        <v>0</v>
      </c>
      <c r="DD627" s="1298"/>
      <c r="DE627" s="1298"/>
      <c r="DF627" s="1298"/>
      <c r="DG627" s="1299"/>
      <c r="DH627" s="1297">
        <f t="shared" si="24"/>
        <v>0</v>
      </c>
      <c r="DI627" s="1298"/>
      <c r="DJ627" s="1298"/>
      <c r="DK627" s="1298"/>
      <c r="DL627" s="1299"/>
      <c r="DM627" s="1297">
        <f t="shared" si="25"/>
        <v>0</v>
      </c>
      <c r="DN627" s="1298"/>
      <c r="DO627" s="1298"/>
      <c r="DP627" s="1298"/>
      <c r="DQ627" s="1299"/>
      <c r="DR627" s="1297">
        <f t="shared" si="26"/>
        <v>0</v>
      </c>
      <c r="DS627" s="1298"/>
      <c r="DT627" s="1298"/>
      <c r="DU627" s="1298"/>
      <c r="DV627" s="1299"/>
    </row>
    <row r="628" spans="2:126" ht="12.95" customHeight="1">
      <c r="B628" s="1451"/>
      <c r="C628" s="1452"/>
      <c r="D628" s="1452"/>
      <c r="E628" s="1452"/>
      <c r="F628" s="1452"/>
      <c r="G628" s="1452"/>
      <c r="H628" s="1452"/>
      <c r="I628" s="1452"/>
      <c r="J628" s="1452"/>
      <c r="K628" s="1452"/>
      <c r="L628" s="1452"/>
      <c r="M628" s="1437"/>
      <c r="N628" s="1437"/>
      <c r="O628" s="1437"/>
      <c r="P628" s="1437"/>
      <c r="Q628" s="1372"/>
      <c r="R628" s="1373"/>
      <c r="S628" s="1374"/>
      <c r="T628" s="1372"/>
      <c r="U628" s="1373"/>
      <c r="V628" s="1374"/>
      <c r="W628" s="1457"/>
      <c r="X628" s="1457"/>
      <c r="Y628" s="1458"/>
      <c r="Z628" s="1437"/>
      <c r="AA628" s="1437"/>
      <c r="AB628" s="1437"/>
      <c r="AC628" s="1468"/>
      <c r="AD628" s="1469"/>
      <c r="AE628" s="1470"/>
      <c r="AF628" s="1372"/>
      <c r="AG628" s="1373"/>
      <c r="AH628" s="1373"/>
      <c r="AI628" s="1373"/>
      <c r="AJ628" s="1374"/>
      <c r="AK628" s="1537"/>
      <c r="AL628" s="1538"/>
      <c r="AM628" s="1538"/>
      <c r="AN628" s="1539"/>
      <c r="AO628" s="1437"/>
      <c r="AP628" s="1437"/>
      <c r="AQ628" s="1437"/>
      <c r="AR628" s="1437"/>
      <c r="AS628" s="1437"/>
      <c r="AT628" s="43"/>
      <c r="AU628" s="43"/>
      <c r="AV628" s="43"/>
      <c r="AW628" s="43"/>
      <c r="AX628" s="43"/>
      <c r="AY628" s="43"/>
      <c r="AZ628" s="43"/>
      <c r="BE628" s="1291">
        <f t="shared" si="17"/>
        <v>0</v>
      </c>
      <c r="BF628" s="1293"/>
      <c r="BG628" s="1285">
        <f t="shared" si="18"/>
        <v>0</v>
      </c>
      <c r="BH628" s="1287"/>
      <c r="BI628" s="1291">
        <f t="shared" si="19"/>
        <v>0</v>
      </c>
      <c r="BJ628" s="1293"/>
      <c r="BK628" s="1285">
        <f t="shared" si="20"/>
        <v>0</v>
      </c>
      <c r="BL628" s="1287"/>
      <c r="BN628" s="1285">
        <f t="shared" si="3"/>
        <v>0</v>
      </c>
      <c r="BO628" s="1286"/>
      <c r="BP628" s="1286"/>
      <c r="BQ628" s="1286"/>
      <c r="BR628" s="1296"/>
      <c r="BS628" s="1285">
        <f t="shared" si="4"/>
        <v>0</v>
      </c>
      <c r="BT628" s="1286"/>
      <c r="BU628" s="1286"/>
      <c r="BV628" s="1286"/>
      <c r="BW628" s="1287"/>
      <c r="BX628" s="1285">
        <f t="shared" si="5"/>
        <v>0</v>
      </c>
      <c r="BY628" s="1286"/>
      <c r="BZ628" s="1286"/>
      <c r="CA628" s="1286"/>
      <c r="CB628" s="1287"/>
      <c r="CC628" s="1285">
        <f t="shared" si="6"/>
        <v>0</v>
      </c>
      <c r="CD628" s="1286"/>
      <c r="CE628" s="1286"/>
      <c r="CF628" s="1286"/>
      <c r="CG628" s="1287"/>
      <c r="CH628" s="1285">
        <f t="shared" si="7"/>
        <v>0</v>
      </c>
      <c r="CI628" s="1286"/>
      <c r="CJ628" s="1286"/>
      <c r="CK628" s="1286"/>
      <c r="CL628" s="1287"/>
      <c r="CM628" s="1294">
        <f t="shared" si="8"/>
        <v>0</v>
      </c>
      <c r="CN628" s="1295"/>
      <c r="CO628" s="1295"/>
      <c r="CP628" s="1295"/>
      <c r="CQ628" s="1296"/>
      <c r="CS628" s="1297">
        <f t="shared" si="21"/>
        <v>0</v>
      </c>
      <c r="CT628" s="1298"/>
      <c r="CU628" s="1298"/>
      <c r="CV628" s="1298"/>
      <c r="CW628" s="1299"/>
      <c r="CX628" s="1297">
        <f t="shared" si="22"/>
        <v>0</v>
      </c>
      <c r="CY628" s="1298"/>
      <c r="CZ628" s="1298"/>
      <c r="DA628" s="1298"/>
      <c r="DB628" s="1299"/>
      <c r="DC628" s="1297">
        <f t="shared" si="23"/>
        <v>0</v>
      </c>
      <c r="DD628" s="1298"/>
      <c r="DE628" s="1298"/>
      <c r="DF628" s="1298"/>
      <c r="DG628" s="1299"/>
      <c r="DH628" s="1297">
        <f t="shared" si="24"/>
        <v>0</v>
      </c>
      <c r="DI628" s="1298"/>
      <c r="DJ628" s="1298"/>
      <c r="DK628" s="1298"/>
      <c r="DL628" s="1299"/>
      <c r="DM628" s="1297">
        <f t="shared" si="25"/>
        <v>0</v>
      </c>
      <c r="DN628" s="1298"/>
      <c r="DO628" s="1298"/>
      <c r="DP628" s="1298"/>
      <c r="DQ628" s="1299"/>
      <c r="DR628" s="1297">
        <f t="shared" si="26"/>
        <v>0</v>
      </c>
      <c r="DS628" s="1298"/>
      <c r="DT628" s="1298"/>
      <c r="DU628" s="1298"/>
      <c r="DV628" s="1299"/>
    </row>
    <row r="629" spans="2:126" ht="12.95" customHeight="1">
      <c r="B629" s="57" t="s">
        <v>900</v>
      </c>
      <c r="C629" s="1316" t="s">
        <v>2420</v>
      </c>
      <c r="D629" s="1316"/>
      <c r="E629" s="1316"/>
      <c r="F629" s="1316"/>
      <c r="G629" s="1316"/>
      <c r="H629" s="1316"/>
      <c r="I629" s="1316"/>
      <c r="J629" s="1316"/>
      <c r="K629" s="1316"/>
      <c r="L629" s="1316"/>
      <c r="M629" s="1403" t="s">
        <v>2163</v>
      </c>
      <c r="N629" s="1403"/>
      <c r="O629" s="1403"/>
      <c r="P629" s="1403"/>
      <c r="Q629" s="1459">
        <f>35*12</f>
        <v>420</v>
      </c>
      <c r="R629" s="1460"/>
      <c r="S629" s="1461"/>
      <c r="T629" s="1438">
        <v>420</v>
      </c>
      <c r="U629" s="1439"/>
      <c r="V629" s="1440"/>
      <c r="W629" s="1400">
        <v>4.2000000000000002E-4</v>
      </c>
      <c r="X629" s="1401"/>
      <c r="Y629" s="1402"/>
      <c r="Z629" s="1394" t="s">
        <v>1965</v>
      </c>
      <c r="AA629" s="1395"/>
      <c r="AB629" s="1396"/>
      <c r="AC629" s="1363">
        <v>1</v>
      </c>
      <c r="AD629" s="1364"/>
      <c r="AE629" s="1365"/>
      <c r="AF629" s="1228"/>
      <c r="AG629" s="1229"/>
      <c r="AH629" s="1229"/>
      <c r="AI629" s="1229"/>
      <c r="AJ629" s="1230"/>
      <c r="AK629" s="1397"/>
      <c r="AL629" s="1398"/>
      <c r="AM629" s="1398"/>
      <c r="AN629" s="1399"/>
      <c r="AO629" s="1121">
        <f>3612110+500000</f>
        <v>4112110</v>
      </c>
      <c r="AP629" s="1121"/>
      <c r="AQ629" s="1121"/>
      <c r="AR629" s="1121"/>
      <c r="AS629" s="1121"/>
      <c r="AT629" s="942" t="str">
        <f t="shared" ref="AT629:AT640" si="27">IF(AND(NOT(C628=""),C629="",NOT(C630="")),"!","")</f>
        <v/>
      </c>
      <c r="AU629" s="43"/>
      <c r="AV629" s="43"/>
      <c r="AW629" s="43"/>
      <c r="AX629" s="43"/>
      <c r="AY629" s="43"/>
      <c r="BA629" s="41" t="s">
        <v>1965</v>
      </c>
      <c r="BC629" s="43"/>
      <c r="BD629" s="43"/>
      <c r="BE629" s="1291">
        <f t="shared" si="17"/>
        <v>0</v>
      </c>
      <c r="BF629" s="1293"/>
      <c r="BG629" s="1285">
        <f t="shared" si="18"/>
        <v>0</v>
      </c>
      <c r="BH629" s="1287"/>
      <c r="BI629" s="1291">
        <f t="shared" si="19"/>
        <v>0</v>
      </c>
      <c r="BJ629" s="1293"/>
      <c r="BK629" s="1285">
        <f t="shared" si="20"/>
        <v>0</v>
      </c>
      <c r="BL629" s="1287"/>
      <c r="BN629" s="1285">
        <f t="shared" si="3"/>
        <v>0</v>
      </c>
      <c r="BO629" s="1286"/>
      <c r="BP629" s="1286"/>
      <c r="BQ629" s="1286"/>
      <c r="BR629" s="1296"/>
      <c r="BS629" s="1285">
        <f t="shared" si="4"/>
        <v>0</v>
      </c>
      <c r="BT629" s="1286"/>
      <c r="BU629" s="1286"/>
      <c r="BV629" s="1286"/>
      <c r="BW629" s="1287"/>
      <c r="BX629" s="1285">
        <f t="shared" si="5"/>
        <v>0</v>
      </c>
      <c r="BY629" s="1286"/>
      <c r="BZ629" s="1286"/>
      <c r="CA629" s="1286"/>
      <c r="CB629" s="1287"/>
      <c r="CC629" s="1285">
        <f t="shared" si="6"/>
        <v>0</v>
      </c>
      <c r="CD629" s="1286"/>
      <c r="CE629" s="1286"/>
      <c r="CF629" s="1286"/>
      <c r="CG629" s="1287"/>
      <c r="CH629" s="1285">
        <f t="shared" si="7"/>
        <v>0</v>
      </c>
      <c r="CI629" s="1286"/>
      <c r="CJ629" s="1286"/>
      <c r="CK629" s="1286"/>
      <c r="CL629" s="1287"/>
      <c r="CM629" s="1294">
        <f t="shared" si="8"/>
        <v>0</v>
      </c>
      <c r="CN629" s="1295"/>
      <c r="CO629" s="1295"/>
      <c r="CP629" s="1295"/>
      <c r="CQ629" s="1296"/>
      <c r="CS629" s="1297">
        <f t="shared" si="21"/>
        <v>0</v>
      </c>
      <c r="CT629" s="1298"/>
      <c r="CU629" s="1298"/>
      <c r="CV629" s="1298"/>
      <c r="CW629" s="1299"/>
      <c r="CX629" s="1297">
        <f t="shared" si="22"/>
        <v>0</v>
      </c>
      <c r="CY629" s="1298"/>
      <c r="CZ629" s="1298"/>
      <c r="DA629" s="1298"/>
      <c r="DB629" s="1299"/>
      <c r="DC629" s="1297">
        <f t="shared" si="23"/>
        <v>0</v>
      </c>
      <c r="DD629" s="1298"/>
      <c r="DE629" s="1298"/>
      <c r="DF629" s="1298"/>
      <c r="DG629" s="1299"/>
      <c r="DH629" s="1297">
        <f t="shared" si="24"/>
        <v>0</v>
      </c>
      <c r="DI629" s="1298"/>
      <c r="DJ629" s="1298"/>
      <c r="DK629" s="1298"/>
      <c r="DL629" s="1299"/>
      <c r="DM629" s="1297">
        <f t="shared" si="25"/>
        <v>0</v>
      </c>
      <c r="DN629" s="1298"/>
      <c r="DO629" s="1298"/>
      <c r="DP629" s="1298"/>
      <c r="DQ629" s="1299"/>
      <c r="DR629" s="1297">
        <f t="shared" si="26"/>
        <v>0</v>
      </c>
      <c r="DS629" s="1298"/>
      <c r="DT629" s="1298"/>
      <c r="DU629" s="1298"/>
      <c r="DV629" s="1299"/>
    </row>
    <row r="630" spans="2:126" ht="12.95" customHeight="1">
      <c r="B630" s="58" t="s">
        <v>901</v>
      </c>
      <c r="C630" s="1316" t="s">
        <v>2421</v>
      </c>
      <c r="D630" s="1316"/>
      <c r="E630" s="1316"/>
      <c r="F630" s="1316"/>
      <c r="G630" s="1316"/>
      <c r="H630" s="1316"/>
      <c r="I630" s="1316"/>
      <c r="J630" s="1316"/>
      <c r="K630" s="1316"/>
      <c r="L630" s="1316"/>
      <c r="M630" s="1403" t="s">
        <v>2173</v>
      </c>
      <c r="N630" s="1403"/>
      <c r="O630" s="1403"/>
      <c r="P630" s="1403"/>
      <c r="Q630" s="1459"/>
      <c r="R630" s="1460"/>
      <c r="S630" s="1461"/>
      <c r="T630" s="1438"/>
      <c r="U630" s="1439"/>
      <c r="V630" s="1440"/>
      <c r="W630" s="1400"/>
      <c r="X630" s="1401"/>
      <c r="Y630" s="1402"/>
      <c r="Z630" s="1394" t="s">
        <v>1965</v>
      </c>
      <c r="AA630" s="1395"/>
      <c r="AB630" s="1396"/>
      <c r="AC630" s="1363"/>
      <c r="AD630" s="1364"/>
      <c r="AE630" s="1365"/>
      <c r="AF630" s="1228"/>
      <c r="AG630" s="1229"/>
      <c r="AH630" s="1229"/>
      <c r="AI630" s="1229"/>
      <c r="AJ630" s="1230"/>
      <c r="AK630" s="1397"/>
      <c r="AL630" s="1398"/>
      <c r="AM630" s="1398"/>
      <c r="AN630" s="1399"/>
      <c r="AO630" s="1121">
        <v>4077205</v>
      </c>
      <c r="AP630" s="1121"/>
      <c r="AQ630" s="1121"/>
      <c r="AR630" s="1121"/>
      <c r="AS630" s="1121"/>
      <c r="AT630" s="942" t="str">
        <f t="shared" si="27"/>
        <v/>
      </c>
      <c r="AU630" s="43"/>
      <c r="AV630" s="43"/>
      <c r="AW630" s="43"/>
      <c r="AX630" s="43"/>
      <c r="AY630" s="43"/>
      <c r="BA630" s="41" t="s">
        <v>789</v>
      </c>
      <c r="BC630" s="43"/>
      <c r="BD630" s="43"/>
      <c r="BE630" s="1291">
        <f t="shared" si="17"/>
        <v>0</v>
      </c>
      <c r="BF630" s="1293"/>
      <c r="BG630" s="1285">
        <f t="shared" si="18"/>
        <v>0</v>
      </c>
      <c r="BH630" s="1287"/>
      <c r="BI630" s="1291">
        <f t="shared" si="19"/>
        <v>0</v>
      </c>
      <c r="BJ630" s="1293"/>
      <c r="BK630" s="1285">
        <f t="shared" si="20"/>
        <v>0</v>
      </c>
      <c r="BL630" s="1287"/>
      <c r="BN630" s="1285">
        <f t="shared" si="3"/>
        <v>0</v>
      </c>
      <c r="BO630" s="1286"/>
      <c r="BP630" s="1286"/>
      <c r="BQ630" s="1286"/>
      <c r="BR630" s="1296"/>
      <c r="BS630" s="1285">
        <f t="shared" si="4"/>
        <v>0</v>
      </c>
      <c r="BT630" s="1286"/>
      <c r="BU630" s="1286"/>
      <c r="BV630" s="1286"/>
      <c r="BW630" s="1287"/>
      <c r="BX630" s="1285">
        <f t="shared" si="5"/>
        <v>0</v>
      </c>
      <c r="BY630" s="1286"/>
      <c r="BZ630" s="1286"/>
      <c r="CA630" s="1286"/>
      <c r="CB630" s="1287"/>
      <c r="CC630" s="1285">
        <f t="shared" si="6"/>
        <v>0</v>
      </c>
      <c r="CD630" s="1286"/>
      <c r="CE630" s="1286"/>
      <c r="CF630" s="1286"/>
      <c r="CG630" s="1287"/>
      <c r="CH630" s="1285">
        <f t="shared" si="7"/>
        <v>0</v>
      </c>
      <c r="CI630" s="1286"/>
      <c r="CJ630" s="1286"/>
      <c r="CK630" s="1286"/>
      <c r="CL630" s="1287"/>
      <c r="CM630" s="1294">
        <f t="shared" si="8"/>
        <v>0</v>
      </c>
      <c r="CN630" s="1295"/>
      <c r="CO630" s="1295"/>
      <c r="CP630" s="1295"/>
      <c r="CQ630" s="1296"/>
      <c r="CS630" s="1297">
        <f t="shared" si="21"/>
        <v>0</v>
      </c>
      <c r="CT630" s="1298"/>
      <c r="CU630" s="1298"/>
      <c r="CV630" s="1298"/>
      <c r="CW630" s="1299"/>
      <c r="CX630" s="1297">
        <f t="shared" si="22"/>
        <v>0</v>
      </c>
      <c r="CY630" s="1298"/>
      <c r="CZ630" s="1298"/>
      <c r="DA630" s="1298"/>
      <c r="DB630" s="1299"/>
      <c r="DC630" s="1297">
        <f t="shared" si="23"/>
        <v>0</v>
      </c>
      <c r="DD630" s="1298"/>
      <c r="DE630" s="1298"/>
      <c r="DF630" s="1298"/>
      <c r="DG630" s="1299"/>
      <c r="DH630" s="1297">
        <f t="shared" si="24"/>
        <v>0</v>
      </c>
      <c r="DI630" s="1298"/>
      <c r="DJ630" s="1298"/>
      <c r="DK630" s="1298"/>
      <c r="DL630" s="1299"/>
      <c r="DM630" s="1297">
        <f t="shared" si="25"/>
        <v>0</v>
      </c>
      <c r="DN630" s="1298"/>
      <c r="DO630" s="1298"/>
      <c r="DP630" s="1298"/>
      <c r="DQ630" s="1299"/>
      <c r="DR630" s="1297">
        <f t="shared" si="26"/>
        <v>0</v>
      </c>
      <c r="DS630" s="1298"/>
      <c r="DT630" s="1298"/>
      <c r="DU630" s="1298"/>
      <c r="DV630" s="1299"/>
    </row>
    <row r="631" spans="2:126" ht="12.95" customHeight="1">
      <c r="B631" s="58" t="s">
        <v>907</v>
      </c>
      <c r="C631" s="1316" t="s">
        <v>2422</v>
      </c>
      <c r="D631" s="1316"/>
      <c r="E631" s="1316"/>
      <c r="F631" s="1316"/>
      <c r="G631" s="1316"/>
      <c r="H631" s="1316"/>
      <c r="I631" s="1316"/>
      <c r="J631" s="1316"/>
      <c r="K631" s="1316"/>
      <c r="L631" s="1316"/>
      <c r="M631" s="1403" t="s">
        <v>2161</v>
      </c>
      <c r="N631" s="1403"/>
      <c r="O631" s="1403"/>
      <c r="P631" s="1403"/>
      <c r="Q631" s="1459"/>
      <c r="R631" s="1460"/>
      <c r="S631" s="1461"/>
      <c r="T631" s="1438"/>
      <c r="U631" s="1439"/>
      <c r="V631" s="1440"/>
      <c r="W631" s="1400"/>
      <c r="X631" s="1401"/>
      <c r="Y631" s="1402"/>
      <c r="Z631" s="1394" t="s">
        <v>1965</v>
      </c>
      <c r="AA631" s="1395"/>
      <c r="AB631" s="1396"/>
      <c r="AC631" s="1363"/>
      <c r="AD631" s="1364"/>
      <c r="AE631" s="1365"/>
      <c r="AF631" s="1228"/>
      <c r="AG631" s="1229"/>
      <c r="AH631" s="1229"/>
      <c r="AI631" s="1229"/>
      <c r="AJ631" s="1230"/>
      <c r="AK631" s="1397"/>
      <c r="AL631" s="1398"/>
      <c r="AM631" s="1398"/>
      <c r="AN631" s="1399"/>
      <c r="AO631" s="1121">
        <v>212399</v>
      </c>
      <c r="AP631" s="1121"/>
      <c r="AQ631" s="1121"/>
      <c r="AR631" s="1121"/>
      <c r="AS631" s="1121"/>
      <c r="AT631" s="942" t="str">
        <f t="shared" si="27"/>
        <v/>
      </c>
      <c r="AU631" s="43"/>
      <c r="AV631" s="43"/>
      <c r="AW631" s="43"/>
      <c r="AX631" s="43"/>
      <c r="AY631" s="43"/>
      <c r="AZ631" s="43"/>
      <c r="BA631" s="41" t="s">
        <v>788</v>
      </c>
      <c r="BB631" s="43"/>
      <c r="BC631" s="43"/>
      <c r="BD631" s="43"/>
      <c r="BE631" s="1291">
        <f t="shared" si="17"/>
        <v>0</v>
      </c>
      <c r="BF631" s="1293"/>
      <c r="BG631" s="1285">
        <f t="shared" si="18"/>
        <v>0</v>
      </c>
      <c r="BH631" s="1287"/>
      <c r="BI631" s="1291">
        <f t="shared" si="19"/>
        <v>0</v>
      </c>
      <c r="BJ631" s="1293"/>
      <c r="BK631" s="1285">
        <f t="shared" si="20"/>
        <v>0</v>
      </c>
      <c r="BL631" s="1287"/>
      <c r="BN631" s="1285">
        <f t="shared" si="3"/>
        <v>0</v>
      </c>
      <c r="BO631" s="1286"/>
      <c r="BP631" s="1286"/>
      <c r="BQ631" s="1286"/>
      <c r="BR631" s="1296"/>
      <c r="BS631" s="1285">
        <f t="shared" si="4"/>
        <v>0</v>
      </c>
      <c r="BT631" s="1286"/>
      <c r="BU631" s="1286"/>
      <c r="BV631" s="1286"/>
      <c r="BW631" s="1287"/>
      <c r="BX631" s="1285">
        <f t="shared" si="5"/>
        <v>0</v>
      </c>
      <c r="BY631" s="1286"/>
      <c r="BZ631" s="1286"/>
      <c r="CA631" s="1286"/>
      <c r="CB631" s="1287"/>
      <c r="CC631" s="1285">
        <f t="shared" si="6"/>
        <v>0</v>
      </c>
      <c r="CD631" s="1286"/>
      <c r="CE631" s="1286"/>
      <c r="CF631" s="1286"/>
      <c r="CG631" s="1287"/>
      <c r="CH631" s="1285">
        <f t="shared" si="7"/>
        <v>0</v>
      </c>
      <c r="CI631" s="1286"/>
      <c r="CJ631" s="1286"/>
      <c r="CK631" s="1286"/>
      <c r="CL631" s="1287"/>
      <c r="CM631" s="1294">
        <f t="shared" si="8"/>
        <v>0</v>
      </c>
      <c r="CN631" s="1295"/>
      <c r="CO631" s="1295"/>
      <c r="CP631" s="1295"/>
      <c r="CQ631" s="1296"/>
      <c r="CS631" s="1297">
        <f t="shared" si="21"/>
        <v>0</v>
      </c>
      <c r="CT631" s="1298"/>
      <c r="CU631" s="1298"/>
      <c r="CV631" s="1298"/>
      <c r="CW631" s="1299"/>
      <c r="CX631" s="1297">
        <f t="shared" si="22"/>
        <v>0</v>
      </c>
      <c r="CY631" s="1298"/>
      <c r="CZ631" s="1298"/>
      <c r="DA631" s="1298"/>
      <c r="DB631" s="1299"/>
      <c r="DC631" s="1297">
        <f t="shared" si="23"/>
        <v>0</v>
      </c>
      <c r="DD631" s="1298"/>
      <c r="DE631" s="1298"/>
      <c r="DF631" s="1298"/>
      <c r="DG631" s="1299"/>
      <c r="DH631" s="1297">
        <f t="shared" si="24"/>
        <v>0</v>
      </c>
      <c r="DI631" s="1298"/>
      <c r="DJ631" s="1298"/>
      <c r="DK631" s="1298"/>
      <c r="DL631" s="1299"/>
      <c r="DM631" s="1297">
        <f t="shared" si="25"/>
        <v>0</v>
      </c>
      <c r="DN631" s="1298"/>
      <c r="DO631" s="1298"/>
      <c r="DP631" s="1298"/>
      <c r="DQ631" s="1299"/>
      <c r="DR631" s="1297">
        <f t="shared" si="26"/>
        <v>0</v>
      </c>
      <c r="DS631" s="1298"/>
      <c r="DT631" s="1298"/>
      <c r="DU631" s="1298"/>
      <c r="DV631" s="1299"/>
    </row>
    <row r="632" spans="2:126" ht="12.95" customHeight="1">
      <c r="B632" s="58" t="s">
        <v>431</v>
      </c>
      <c r="C632" s="1316" t="s">
        <v>2423</v>
      </c>
      <c r="D632" s="1316"/>
      <c r="E632" s="1316"/>
      <c r="F632" s="1316"/>
      <c r="G632" s="1316"/>
      <c r="H632" s="1316"/>
      <c r="I632" s="1316"/>
      <c r="J632" s="1316"/>
      <c r="K632" s="1316"/>
      <c r="L632" s="1316"/>
      <c r="M632" s="1403" t="s">
        <v>2163</v>
      </c>
      <c r="N632" s="1403"/>
      <c r="O632" s="1403"/>
      <c r="P632" s="1403"/>
      <c r="Q632" s="1459"/>
      <c r="R632" s="1460"/>
      <c r="S632" s="1461"/>
      <c r="T632" s="1438"/>
      <c r="U632" s="1439"/>
      <c r="V632" s="1440"/>
      <c r="W632" s="1400"/>
      <c r="X632" s="1401"/>
      <c r="Y632" s="1402"/>
      <c r="Z632" s="1394" t="s">
        <v>1965</v>
      </c>
      <c r="AA632" s="1395"/>
      <c r="AB632" s="1396"/>
      <c r="AC632" s="1363"/>
      <c r="AD632" s="1364"/>
      <c r="AE632" s="1365"/>
      <c r="AF632" s="1228"/>
      <c r="AG632" s="1229"/>
      <c r="AH632" s="1229"/>
      <c r="AI632" s="1229"/>
      <c r="AJ632" s="1230"/>
      <c r="AK632" s="1397"/>
      <c r="AL632" s="1398"/>
      <c r="AM632" s="1398"/>
      <c r="AN632" s="1399"/>
      <c r="AO632" s="1121">
        <v>7580888</v>
      </c>
      <c r="AP632" s="1121"/>
      <c r="AQ632" s="1121"/>
      <c r="AR632" s="1121"/>
      <c r="AS632" s="1121"/>
      <c r="AT632" s="942" t="str">
        <f t="shared" si="27"/>
        <v/>
      </c>
      <c r="AU632" s="43"/>
      <c r="AV632" s="43"/>
      <c r="AW632" s="43"/>
      <c r="AX632" s="43"/>
      <c r="AY632" s="43"/>
      <c r="AZ632" s="43"/>
      <c r="BA632" s="41" t="s">
        <v>2181</v>
      </c>
      <c r="BE632" s="1291">
        <f t="shared" si="17"/>
        <v>0</v>
      </c>
      <c r="BF632" s="1293"/>
      <c r="BG632" s="1285">
        <f t="shared" si="18"/>
        <v>0</v>
      </c>
      <c r="BH632" s="1287"/>
      <c r="BI632" s="1291">
        <f t="shared" si="19"/>
        <v>0</v>
      </c>
      <c r="BJ632" s="1293"/>
      <c r="BK632" s="1285">
        <f t="shared" si="20"/>
        <v>0</v>
      </c>
      <c r="BL632" s="1287"/>
      <c r="BN632" s="1285">
        <f t="shared" si="3"/>
        <v>0</v>
      </c>
      <c r="BO632" s="1286"/>
      <c r="BP632" s="1286"/>
      <c r="BQ632" s="1286"/>
      <c r="BR632" s="1296"/>
      <c r="BS632" s="1285">
        <f t="shared" si="4"/>
        <v>0</v>
      </c>
      <c r="BT632" s="1286"/>
      <c r="BU632" s="1286"/>
      <c r="BV632" s="1286"/>
      <c r="BW632" s="1287"/>
      <c r="BX632" s="1285">
        <f t="shared" si="5"/>
        <v>0</v>
      </c>
      <c r="BY632" s="1286"/>
      <c r="BZ632" s="1286"/>
      <c r="CA632" s="1286"/>
      <c r="CB632" s="1287"/>
      <c r="CC632" s="1285">
        <f t="shared" si="6"/>
        <v>0</v>
      </c>
      <c r="CD632" s="1286"/>
      <c r="CE632" s="1286"/>
      <c r="CF632" s="1286"/>
      <c r="CG632" s="1287"/>
      <c r="CH632" s="1285">
        <f t="shared" si="7"/>
        <v>0</v>
      </c>
      <c r="CI632" s="1286"/>
      <c r="CJ632" s="1286"/>
      <c r="CK632" s="1286"/>
      <c r="CL632" s="1287"/>
      <c r="CM632" s="1294">
        <f t="shared" si="8"/>
        <v>0</v>
      </c>
      <c r="CN632" s="1295"/>
      <c r="CO632" s="1295"/>
      <c r="CP632" s="1295"/>
      <c r="CQ632" s="1296"/>
      <c r="CS632" s="1297">
        <f t="shared" si="21"/>
        <v>0</v>
      </c>
      <c r="CT632" s="1298"/>
      <c r="CU632" s="1298"/>
      <c r="CV632" s="1298"/>
      <c r="CW632" s="1299"/>
      <c r="CX632" s="1297">
        <f t="shared" si="22"/>
        <v>0</v>
      </c>
      <c r="CY632" s="1298"/>
      <c r="CZ632" s="1298"/>
      <c r="DA632" s="1298"/>
      <c r="DB632" s="1299"/>
      <c r="DC632" s="1297">
        <f t="shared" si="23"/>
        <v>0</v>
      </c>
      <c r="DD632" s="1298"/>
      <c r="DE632" s="1298"/>
      <c r="DF632" s="1298"/>
      <c r="DG632" s="1299"/>
      <c r="DH632" s="1297">
        <f t="shared" si="24"/>
        <v>0</v>
      </c>
      <c r="DI632" s="1298"/>
      <c r="DJ632" s="1298"/>
      <c r="DK632" s="1298"/>
      <c r="DL632" s="1299"/>
      <c r="DM632" s="1297">
        <f t="shared" si="25"/>
        <v>0</v>
      </c>
      <c r="DN632" s="1298"/>
      <c r="DO632" s="1298"/>
      <c r="DP632" s="1298"/>
      <c r="DQ632" s="1299"/>
      <c r="DR632" s="1297">
        <f t="shared" si="26"/>
        <v>0</v>
      </c>
      <c r="DS632" s="1298"/>
      <c r="DT632" s="1298"/>
      <c r="DU632" s="1298"/>
      <c r="DV632" s="1299"/>
    </row>
    <row r="633" spans="2:126" ht="12.95" customHeight="1">
      <c r="B633" s="58" t="s">
        <v>171</v>
      </c>
      <c r="C633" s="1316"/>
      <c r="D633" s="1316"/>
      <c r="E633" s="1316"/>
      <c r="F633" s="1316"/>
      <c r="G633" s="1316"/>
      <c r="H633" s="1316"/>
      <c r="I633" s="1316"/>
      <c r="J633" s="1316"/>
      <c r="K633" s="1316"/>
      <c r="L633" s="1316"/>
      <c r="M633" s="1403"/>
      <c r="N633" s="1403"/>
      <c r="O633" s="1403"/>
      <c r="P633" s="1403"/>
      <c r="Q633" s="1459"/>
      <c r="R633" s="1460"/>
      <c r="S633" s="1461"/>
      <c r="T633" s="1438"/>
      <c r="U633" s="1439"/>
      <c r="V633" s="1440"/>
      <c r="W633" s="1400"/>
      <c r="X633" s="1401"/>
      <c r="Y633" s="1402"/>
      <c r="Z633" s="1394" t="s">
        <v>1965</v>
      </c>
      <c r="AA633" s="1395"/>
      <c r="AB633" s="1396"/>
      <c r="AC633" s="1363"/>
      <c r="AD633" s="1364"/>
      <c r="AE633" s="1365"/>
      <c r="AF633" s="1228"/>
      <c r="AG633" s="1229"/>
      <c r="AH633" s="1229"/>
      <c r="AI633" s="1229"/>
      <c r="AJ633" s="1230"/>
      <c r="AK633" s="1397"/>
      <c r="AL633" s="1398"/>
      <c r="AM633" s="1398"/>
      <c r="AN633" s="1399"/>
      <c r="AO633" s="1121"/>
      <c r="AP633" s="1121"/>
      <c r="AQ633" s="1121"/>
      <c r="AR633" s="1121"/>
      <c r="AS633" s="1121"/>
      <c r="AT633" s="942" t="str">
        <f t="shared" si="27"/>
        <v/>
      </c>
      <c r="AU633" s="43"/>
      <c r="AV633" s="43"/>
      <c r="AW633" s="43"/>
      <c r="AX633" s="43"/>
      <c r="AY633" s="43"/>
      <c r="AZ633" s="43"/>
      <c r="BA633" s="41" t="s">
        <v>499</v>
      </c>
      <c r="BE633" s="1291">
        <f t="shared" si="17"/>
        <v>0</v>
      </c>
      <c r="BF633" s="1293"/>
      <c r="BG633" s="1285">
        <f t="shared" si="18"/>
        <v>0</v>
      </c>
      <c r="BH633" s="1287"/>
      <c r="BI633" s="1291">
        <f t="shared" si="19"/>
        <v>0</v>
      </c>
      <c r="BJ633" s="1293"/>
      <c r="BK633" s="1285">
        <f t="shared" si="20"/>
        <v>0</v>
      </c>
      <c r="BL633" s="1287"/>
      <c r="BN633" s="1285">
        <f t="shared" si="3"/>
        <v>0</v>
      </c>
      <c r="BO633" s="1286"/>
      <c r="BP633" s="1286"/>
      <c r="BQ633" s="1286"/>
      <c r="BR633" s="1296"/>
      <c r="BS633" s="1285">
        <f t="shared" si="4"/>
        <v>0</v>
      </c>
      <c r="BT633" s="1286"/>
      <c r="BU633" s="1286"/>
      <c r="BV633" s="1286"/>
      <c r="BW633" s="1287"/>
      <c r="BX633" s="1285">
        <f t="shared" si="5"/>
        <v>0</v>
      </c>
      <c r="BY633" s="1286"/>
      <c r="BZ633" s="1286"/>
      <c r="CA633" s="1286"/>
      <c r="CB633" s="1287"/>
      <c r="CC633" s="1285">
        <f t="shared" si="6"/>
        <v>0</v>
      </c>
      <c r="CD633" s="1286"/>
      <c r="CE633" s="1286"/>
      <c r="CF633" s="1286"/>
      <c r="CG633" s="1287"/>
      <c r="CH633" s="1285">
        <f t="shared" si="7"/>
        <v>0</v>
      </c>
      <c r="CI633" s="1286"/>
      <c r="CJ633" s="1286"/>
      <c r="CK633" s="1286"/>
      <c r="CL633" s="1287"/>
      <c r="CM633" s="1294">
        <f t="shared" si="8"/>
        <v>0</v>
      </c>
      <c r="CN633" s="1295"/>
      <c r="CO633" s="1295"/>
      <c r="CP633" s="1295"/>
      <c r="CQ633" s="1296"/>
      <c r="CS633" s="1297">
        <f t="shared" si="21"/>
        <v>0</v>
      </c>
      <c r="CT633" s="1298"/>
      <c r="CU633" s="1298"/>
      <c r="CV633" s="1298"/>
      <c r="CW633" s="1299"/>
      <c r="CX633" s="1297">
        <f t="shared" si="22"/>
        <v>0</v>
      </c>
      <c r="CY633" s="1298"/>
      <c r="CZ633" s="1298"/>
      <c r="DA633" s="1298"/>
      <c r="DB633" s="1299"/>
      <c r="DC633" s="1297">
        <f t="shared" si="23"/>
        <v>0</v>
      </c>
      <c r="DD633" s="1298"/>
      <c r="DE633" s="1298"/>
      <c r="DF633" s="1298"/>
      <c r="DG633" s="1299"/>
      <c r="DH633" s="1297">
        <f t="shared" si="24"/>
        <v>0</v>
      </c>
      <c r="DI633" s="1298"/>
      <c r="DJ633" s="1298"/>
      <c r="DK633" s="1298"/>
      <c r="DL633" s="1299"/>
      <c r="DM633" s="1297">
        <f t="shared" si="25"/>
        <v>0</v>
      </c>
      <c r="DN633" s="1298"/>
      <c r="DO633" s="1298"/>
      <c r="DP633" s="1298"/>
      <c r="DQ633" s="1299"/>
      <c r="DR633" s="1297">
        <f t="shared" si="26"/>
        <v>0</v>
      </c>
      <c r="DS633" s="1298"/>
      <c r="DT633" s="1298"/>
      <c r="DU633" s="1298"/>
      <c r="DV633" s="1299"/>
    </row>
    <row r="634" spans="2:126" ht="12.95" customHeight="1">
      <c r="B634" s="58" t="s">
        <v>434</v>
      </c>
      <c r="C634" s="1316"/>
      <c r="D634" s="1316"/>
      <c r="E634" s="1316"/>
      <c r="F634" s="1316"/>
      <c r="G634" s="1316"/>
      <c r="H634" s="1316"/>
      <c r="I634" s="1316"/>
      <c r="J634" s="1316"/>
      <c r="K634" s="1316"/>
      <c r="L634" s="1316"/>
      <c r="M634" s="1403" t="s">
        <v>1965</v>
      </c>
      <c r="N634" s="1403"/>
      <c r="O634" s="1403"/>
      <c r="P634" s="1403"/>
      <c r="Q634" s="1459"/>
      <c r="R634" s="1460"/>
      <c r="S634" s="1461"/>
      <c r="T634" s="1438"/>
      <c r="U634" s="1439"/>
      <c r="V634" s="1440"/>
      <c r="W634" s="1400"/>
      <c r="X634" s="1401"/>
      <c r="Y634" s="1402"/>
      <c r="Z634" s="1394" t="s">
        <v>1965</v>
      </c>
      <c r="AA634" s="1395"/>
      <c r="AB634" s="1396"/>
      <c r="AC634" s="1363"/>
      <c r="AD634" s="1364"/>
      <c r="AE634" s="1365"/>
      <c r="AF634" s="1228"/>
      <c r="AG634" s="1229"/>
      <c r="AH634" s="1229"/>
      <c r="AI634" s="1229"/>
      <c r="AJ634" s="1230"/>
      <c r="AK634" s="1397"/>
      <c r="AL634" s="1398"/>
      <c r="AM634" s="1398"/>
      <c r="AN634" s="1399"/>
      <c r="AO634" s="1121"/>
      <c r="AP634" s="1121"/>
      <c r="AQ634" s="1121"/>
      <c r="AR634" s="1121"/>
      <c r="AS634" s="1121"/>
      <c r="AT634" s="942" t="str">
        <f t="shared" si="27"/>
        <v/>
      </c>
      <c r="AU634" s="43"/>
      <c r="AV634" s="43"/>
      <c r="AW634" s="43"/>
      <c r="AX634" s="43"/>
      <c r="AY634" s="43"/>
      <c r="AZ634" s="43"/>
      <c r="BE634" s="1291">
        <f>IF(AND(AH737&lt;=0.5,AH737&gt;=0.36),1,0)</f>
        <v>0</v>
      </c>
      <c r="BF634" s="1293"/>
      <c r="BG634" s="1285">
        <f>IF(BE634=1,G737,0)</f>
        <v>0</v>
      </c>
      <c r="BH634" s="1287"/>
      <c r="BI634" s="1291">
        <f>IF(AND(AH737&lt;=0.35,AH737&gt;0),1,0)</f>
        <v>0</v>
      </c>
      <c r="BJ634" s="1293"/>
      <c r="BK634" s="1285">
        <f>IF(BI634=1,G737,0)</f>
        <v>0</v>
      </c>
      <c r="BL634" s="1287"/>
      <c r="BN634" s="1291">
        <f>SUM(BN599:BR633)</f>
        <v>18</v>
      </c>
      <c r="BO634" s="1292"/>
      <c r="BP634" s="1292"/>
      <c r="BQ634" s="1292"/>
      <c r="BR634" s="1293"/>
      <c r="BS634" s="1291">
        <f>SUM(BS599:BW633)</f>
        <v>25</v>
      </c>
      <c r="BT634" s="1292"/>
      <c r="BU634" s="1292"/>
      <c r="BV634" s="1292"/>
      <c r="BW634" s="1293"/>
      <c r="BX634" s="1291">
        <f>SUM(BX599:CB633)</f>
        <v>2</v>
      </c>
      <c r="BY634" s="1292"/>
      <c r="BZ634" s="1292"/>
      <c r="CA634" s="1292"/>
      <c r="CB634" s="1293"/>
      <c r="CC634" s="1291">
        <f>SUM(CC599:CG633)</f>
        <v>0</v>
      </c>
      <c r="CD634" s="1292"/>
      <c r="CE634" s="1292"/>
      <c r="CF634" s="1292"/>
      <c r="CG634" s="1293"/>
      <c r="CH634" s="1291">
        <f>SUM(CH599:CL633)</f>
        <v>0</v>
      </c>
      <c r="CI634" s="1292"/>
      <c r="CJ634" s="1292"/>
      <c r="CK634" s="1292"/>
      <c r="CL634" s="1293"/>
      <c r="CM634" s="1291">
        <f>SUM(CM599:CQ633)</f>
        <v>0</v>
      </c>
      <c r="CN634" s="1292"/>
      <c r="CO634" s="1292"/>
      <c r="CP634" s="1292"/>
      <c r="CQ634" s="1293"/>
      <c r="CS634" s="1297">
        <f>IF(AND(B737="SRO/Studio",AH737&lt;=0.3),G737,0)</f>
        <v>0</v>
      </c>
      <c r="CT634" s="1298"/>
      <c r="CU634" s="1298"/>
      <c r="CV634" s="1298"/>
      <c r="CW634" s="1299"/>
      <c r="CX634" s="1297">
        <f>IF(AND(B737="1 Bedroom",AH737&lt;=0.3),G737,0)</f>
        <v>0</v>
      </c>
      <c r="CY634" s="1298"/>
      <c r="CZ634" s="1298"/>
      <c r="DA634" s="1298"/>
      <c r="DB634" s="1299"/>
      <c r="DC634" s="1297">
        <f>IF(AND(B737="2 Bedrooms",AH737&lt;=0.3),G737,0)</f>
        <v>0</v>
      </c>
      <c r="DD634" s="1298"/>
      <c r="DE634" s="1298"/>
      <c r="DF634" s="1298"/>
      <c r="DG634" s="1299"/>
      <c r="DH634" s="1297">
        <f>IF(AND(B737="3 Bedrooms",AH737&lt;=0.3),G737,0)</f>
        <v>0</v>
      </c>
      <c r="DI634" s="1298"/>
      <c r="DJ634" s="1298"/>
      <c r="DK634" s="1298"/>
      <c r="DL634" s="1299"/>
      <c r="DM634" s="1297">
        <f>IF(AND(B737="4 Bedrooms",AH737&lt;=0.3),G737,0)</f>
        <v>0</v>
      </c>
      <c r="DN634" s="1298"/>
      <c r="DO634" s="1298"/>
      <c r="DP634" s="1298"/>
      <c r="DQ634" s="1299"/>
      <c r="DR634" s="1297">
        <f>IF(AND(B737="5 Bedrooms",AH737&lt;=0.3),G737,0)</f>
        <v>0</v>
      </c>
      <c r="DS634" s="1298"/>
      <c r="DT634" s="1298"/>
      <c r="DU634" s="1298"/>
      <c r="DV634" s="1299"/>
    </row>
    <row r="635" spans="2:126" ht="12.95" customHeight="1" thickBot="1">
      <c r="B635" s="58" t="s">
        <v>742</v>
      </c>
      <c r="C635" s="1316"/>
      <c r="D635" s="1316"/>
      <c r="E635" s="1316"/>
      <c r="F635" s="1316"/>
      <c r="G635" s="1316"/>
      <c r="H635" s="1316"/>
      <c r="I635" s="1316"/>
      <c r="J635" s="1316"/>
      <c r="K635" s="1316"/>
      <c r="L635" s="1316"/>
      <c r="M635" s="1403" t="s">
        <v>1965</v>
      </c>
      <c r="N635" s="1403"/>
      <c r="O635" s="1403"/>
      <c r="P635" s="1403"/>
      <c r="Q635" s="1459"/>
      <c r="R635" s="1460"/>
      <c r="S635" s="1461"/>
      <c r="T635" s="1438"/>
      <c r="U635" s="1439"/>
      <c r="V635" s="1440"/>
      <c r="W635" s="1400"/>
      <c r="X635" s="1401"/>
      <c r="Y635" s="1402"/>
      <c r="Z635" s="1394" t="s">
        <v>1965</v>
      </c>
      <c r="AA635" s="1395"/>
      <c r="AB635" s="1396"/>
      <c r="AC635" s="1363"/>
      <c r="AD635" s="1364"/>
      <c r="AE635" s="1365"/>
      <c r="AF635" s="1228"/>
      <c r="AG635" s="1229"/>
      <c r="AH635" s="1229"/>
      <c r="AI635" s="1229"/>
      <c r="AJ635" s="1230"/>
      <c r="AK635" s="1397"/>
      <c r="AL635" s="1398"/>
      <c r="AM635" s="1398"/>
      <c r="AN635" s="1399"/>
      <c r="AO635" s="1121"/>
      <c r="AP635" s="1121"/>
      <c r="AQ635" s="1121"/>
      <c r="AR635" s="1121"/>
      <c r="AS635" s="1121"/>
      <c r="AT635" s="942" t="str">
        <f t="shared" si="27"/>
        <v/>
      </c>
      <c r="AU635" s="43"/>
      <c r="AV635" s="43"/>
      <c r="AW635" s="43"/>
      <c r="AX635" s="43"/>
      <c r="AY635" s="43"/>
      <c r="AZ635" s="43"/>
      <c r="BE635" s="41"/>
      <c r="BF635" s="41"/>
      <c r="BG635" s="1291">
        <f>SUM(BG600:BH634)</f>
        <v>10</v>
      </c>
      <c r="BH635" s="1293"/>
      <c r="BI635" s="41"/>
      <c r="BJ635" s="41"/>
      <c r="BK635" s="1291">
        <f>SUM(BK600:BL634)</f>
        <v>35</v>
      </c>
      <c r="BL635" s="1293"/>
      <c r="BN635" s="41" t="s">
        <v>1716</v>
      </c>
      <c r="BO635" s="41"/>
      <c r="BP635" s="41"/>
      <c r="BQ635" s="41"/>
      <c r="BR635" s="464">
        <f>BN634*1</f>
        <v>18</v>
      </c>
      <c r="BS635" s="41"/>
      <c r="BT635" s="41"/>
      <c r="BU635" s="41"/>
      <c r="BV635" s="41"/>
      <c r="BW635" s="464">
        <f>BS634*1</f>
        <v>25</v>
      </c>
      <c r="BX635" s="41"/>
      <c r="BY635" s="41"/>
      <c r="BZ635" s="41"/>
      <c r="CA635" s="41"/>
      <c r="CB635" s="464">
        <f>BX634*2</f>
        <v>4</v>
      </c>
      <c r="CC635" s="41"/>
      <c r="CD635" s="41"/>
      <c r="CE635" s="41"/>
      <c r="CF635" s="41"/>
      <c r="CG635" s="464">
        <f>CC634*3</f>
        <v>0</v>
      </c>
      <c r="CH635" s="41"/>
      <c r="CI635" s="41"/>
      <c r="CJ635" s="41"/>
      <c r="CK635" s="41"/>
      <c r="CL635" s="464">
        <f>CH634*4</f>
        <v>0</v>
      </c>
      <c r="CM635" s="41"/>
      <c r="CN635" s="41"/>
      <c r="CO635" s="41"/>
      <c r="CP635" s="41"/>
      <c r="CQ635" s="463">
        <f>CM634*5</f>
        <v>0</v>
      </c>
      <c r="CS635" s="1291">
        <f>SUM(CS600:CW634)</f>
        <v>14</v>
      </c>
      <c r="CT635" s="1292"/>
      <c r="CU635" s="1292"/>
      <c r="CV635" s="1292"/>
      <c r="CW635" s="1293"/>
      <c r="CX635" s="1291">
        <f>SUM(CX600:DB634)</f>
        <v>20</v>
      </c>
      <c r="CY635" s="1292"/>
      <c r="CZ635" s="1292"/>
      <c r="DA635" s="1292"/>
      <c r="DB635" s="1293"/>
      <c r="DC635" s="1291">
        <f>SUM(DC600:DG634)</f>
        <v>1</v>
      </c>
      <c r="DD635" s="1292"/>
      <c r="DE635" s="1292"/>
      <c r="DF635" s="1292"/>
      <c r="DG635" s="1293"/>
      <c r="DH635" s="1291">
        <f>SUM(DH600:DL634)</f>
        <v>0</v>
      </c>
      <c r="DI635" s="1292"/>
      <c r="DJ635" s="1292"/>
      <c r="DK635" s="1292"/>
      <c r="DL635" s="1293"/>
      <c r="DM635" s="1291">
        <f>SUM(DM600:DQ634)</f>
        <v>0</v>
      </c>
      <c r="DN635" s="1292"/>
      <c r="DO635" s="1292"/>
      <c r="DP635" s="1292"/>
      <c r="DQ635" s="1293"/>
      <c r="DR635" s="1291">
        <f>SUM(DR600:DV634)</f>
        <v>0</v>
      </c>
      <c r="DS635" s="1292"/>
      <c r="DT635" s="1292"/>
      <c r="DU635" s="1292"/>
      <c r="DV635" s="1293"/>
    </row>
    <row r="636" spans="2:126" ht="12.95" customHeight="1" thickBot="1">
      <c r="B636" s="58" t="s">
        <v>743</v>
      </c>
      <c r="C636" s="1316"/>
      <c r="D636" s="1316"/>
      <c r="E636" s="1316"/>
      <c r="F636" s="1316"/>
      <c r="G636" s="1316"/>
      <c r="H636" s="1316"/>
      <c r="I636" s="1316"/>
      <c r="J636" s="1316"/>
      <c r="K636" s="1316"/>
      <c r="L636" s="1316"/>
      <c r="M636" s="1403" t="s">
        <v>1965</v>
      </c>
      <c r="N636" s="1403"/>
      <c r="O636" s="1403"/>
      <c r="P636" s="1403"/>
      <c r="Q636" s="1459"/>
      <c r="R636" s="1460"/>
      <c r="S636" s="1461"/>
      <c r="T636" s="1438"/>
      <c r="U636" s="1439"/>
      <c r="V636" s="1440"/>
      <c r="W636" s="1400"/>
      <c r="X636" s="1401"/>
      <c r="Y636" s="1402"/>
      <c r="Z636" s="1394" t="s">
        <v>1965</v>
      </c>
      <c r="AA636" s="1395"/>
      <c r="AB636" s="1396"/>
      <c r="AC636" s="1363"/>
      <c r="AD636" s="1364"/>
      <c r="AE636" s="1365"/>
      <c r="AF636" s="1228"/>
      <c r="AG636" s="1229"/>
      <c r="AH636" s="1229"/>
      <c r="AI636" s="1229"/>
      <c r="AJ636" s="1230"/>
      <c r="AK636" s="1397"/>
      <c r="AL636" s="1398"/>
      <c r="AM636" s="1398"/>
      <c r="AN636" s="1399"/>
      <c r="AO636" s="1121"/>
      <c r="AP636" s="1121"/>
      <c r="AQ636" s="1121"/>
      <c r="AR636" s="1121"/>
      <c r="AS636" s="1121"/>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47</v>
      </c>
      <c r="CR636" s="41"/>
      <c r="CS636" s="41"/>
    </row>
    <row r="637" spans="2:126" ht="12.95" customHeight="1">
      <c r="B637" s="58" t="s">
        <v>546</v>
      </c>
      <c r="C637" s="1316"/>
      <c r="D637" s="1316"/>
      <c r="E637" s="1316"/>
      <c r="F637" s="1316"/>
      <c r="G637" s="1316"/>
      <c r="H637" s="1316"/>
      <c r="I637" s="1316"/>
      <c r="J637" s="1316"/>
      <c r="K637" s="1316"/>
      <c r="L637" s="1316"/>
      <c r="M637" s="1403" t="s">
        <v>1965</v>
      </c>
      <c r="N637" s="1403"/>
      <c r="O637" s="1403"/>
      <c r="P637" s="1403"/>
      <c r="Q637" s="1459"/>
      <c r="R637" s="1460"/>
      <c r="S637" s="1461"/>
      <c r="T637" s="1438"/>
      <c r="U637" s="1439"/>
      <c r="V637" s="1440"/>
      <c r="W637" s="1400"/>
      <c r="X637" s="1401"/>
      <c r="Y637" s="1402"/>
      <c r="Z637" s="1394" t="s">
        <v>1965</v>
      </c>
      <c r="AA637" s="1395"/>
      <c r="AB637" s="1396"/>
      <c r="AC637" s="1363"/>
      <c r="AD637" s="1364"/>
      <c r="AE637" s="1365"/>
      <c r="AF637" s="1228"/>
      <c r="AG637" s="1229"/>
      <c r="AH637" s="1229"/>
      <c r="AI637" s="1229"/>
      <c r="AJ637" s="1230"/>
      <c r="AK637" s="1397"/>
      <c r="AL637" s="1398"/>
      <c r="AM637" s="1398"/>
      <c r="AN637" s="1399"/>
      <c r="AO637" s="1121"/>
      <c r="AP637" s="1121"/>
      <c r="AQ637" s="1121"/>
      <c r="AR637" s="1121"/>
      <c r="AS637" s="1121"/>
      <c r="AT637" s="942" t="str">
        <f t="shared" si="27"/>
        <v/>
      </c>
      <c r="AU637" s="41"/>
      <c r="AV637" s="41"/>
      <c r="AW637" s="41"/>
      <c r="AX637" s="41"/>
      <c r="AY637" s="41"/>
      <c r="AZ637" s="41"/>
      <c r="BN637" s="1285">
        <f>IF(J760="SRO/Studio",O760,0)</f>
        <v>0</v>
      </c>
      <c r="BO637" s="1286"/>
      <c r="BP637" s="1286"/>
      <c r="BQ637" s="1286"/>
      <c r="BR637" s="1287"/>
      <c r="BS637" s="1285">
        <f>IF(J760="1 Bedroom",O760,0)</f>
        <v>0</v>
      </c>
      <c r="BT637" s="1286"/>
      <c r="BU637" s="1286"/>
      <c r="BV637" s="1286"/>
      <c r="BW637" s="1287"/>
      <c r="BX637" s="1285">
        <f>IF(J760="2 Bedrooms",O760,0)</f>
        <v>0</v>
      </c>
      <c r="BY637" s="1286"/>
      <c r="BZ637" s="1286"/>
      <c r="CA637" s="1286"/>
      <c r="CB637" s="1287"/>
      <c r="CC637" s="1285">
        <f>IF(J760="3 Bedrooms",O760,0)</f>
        <v>1</v>
      </c>
      <c r="CD637" s="1286"/>
      <c r="CE637" s="1286"/>
      <c r="CF637" s="1286"/>
      <c r="CG637" s="1287"/>
      <c r="CH637" s="1285">
        <f>IF(J760="4 Bedrooms",O760,0)</f>
        <v>0</v>
      </c>
      <c r="CI637" s="1286"/>
      <c r="CJ637" s="1286"/>
      <c r="CK637" s="1286"/>
      <c r="CL637" s="1287"/>
      <c r="CM637" s="1294">
        <f>IF(J760="5 Bedrooms",O760,0)</f>
        <v>0</v>
      </c>
      <c r="CN637" s="1295"/>
      <c r="CO637" s="1295"/>
      <c r="CP637" s="1295"/>
      <c r="CQ637" s="1296"/>
      <c r="CR637" s="41"/>
      <c r="CS637" s="41"/>
    </row>
    <row r="638" spans="2:126" ht="12.95" customHeight="1">
      <c r="B638" s="58" t="s">
        <v>174</v>
      </c>
      <c r="C638" s="1316"/>
      <c r="D638" s="1316"/>
      <c r="E638" s="1316"/>
      <c r="F638" s="1316"/>
      <c r="G638" s="1316"/>
      <c r="H638" s="1316"/>
      <c r="I638" s="1316"/>
      <c r="J638" s="1316"/>
      <c r="K638" s="1316"/>
      <c r="L638" s="1316"/>
      <c r="M638" s="1403" t="s">
        <v>1965</v>
      </c>
      <c r="N638" s="1403"/>
      <c r="O638" s="1403"/>
      <c r="P638" s="1403"/>
      <c r="Q638" s="1459"/>
      <c r="R638" s="1460"/>
      <c r="S638" s="1461"/>
      <c r="T638" s="1438"/>
      <c r="U638" s="1439"/>
      <c r="V638" s="1440"/>
      <c r="W638" s="1400"/>
      <c r="X638" s="1401"/>
      <c r="Y638" s="1402"/>
      <c r="Z638" s="1394" t="s">
        <v>1965</v>
      </c>
      <c r="AA638" s="1395"/>
      <c r="AB638" s="1396"/>
      <c r="AC638" s="1363"/>
      <c r="AD638" s="1364"/>
      <c r="AE638" s="1365"/>
      <c r="AF638" s="1228"/>
      <c r="AG638" s="1229"/>
      <c r="AH638" s="1229"/>
      <c r="AI638" s="1229"/>
      <c r="AJ638" s="1230"/>
      <c r="AK638" s="1397"/>
      <c r="AL638" s="1398"/>
      <c r="AM638" s="1398"/>
      <c r="AN638" s="1399"/>
      <c r="AO638" s="1121"/>
      <c r="AP638" s="1121"/>
      <c r="AQ638" s="1121"/>
      <c r="AR638" s="1121"/>
      <c r="AS638" s="1121"/>
      <c r="AT638" s="942" t="str">
        <f t="shared" si="27"/>
        <v/>
      </c>
      <c r="AU638" s="41"/>
      <c r="AV638" s="41"/>
      <c r="AW638" s="41"/>
      <c r="AX638" s="41"/>
      <c r="AY638" s="41"/>
      <c r="AZ638" s="41"/>
      <c r="BN638" s="1285">
        <f>IF(J761="SRO/Studio",O761,0)</f>
        <v>0</v>
      </c>
      <c r="BO638" s="1286"/>
      <c r="BP638" s="1286"/>
      <c r="BQ638" s="1286"/>
      <c r="BR638" s="1287"/>
      <c r="BS638" s="1285">
        <f>IF(J761="1 Bedroom",O761,0)</f>
        <v>0</v>
      </c>
      <c r="BT638" s="1286"/>
      <c r="BU638" s="1286"/>
      <c r="BV638" s="1286"/>
      <c r="BW638" s="1287"/>
      <c r="BX638" s="1285">
        <f>IF(J761="2 Bedrooms",O761,0)</f>
        <v>0</v>
      </c>
      <c r="BY638" s="1286"/>
      <c r="BZ638" s="1286"/>
      <c r="CA638" s="1286"/>
      <c r="CB638" s="1287"/>
      <c r="CC638" s="1285">
        <f>IF(J761="3 Bedrooms",O761,0)</f>
        <v>0</v>
      </c>
      <c r="CD638" s="1286"/>
      <c r="CE638" s="1286"/>
      <c r="CF638" s="1286"/>
      <c r="CG638" s="1287"/>
      <c r="CH638" s="1285">
        <f>IF(J761="4 Bedrooms",O761,0)</f>
        <v>0</v>
      </c>
      <c r="CI638" s="1286"/>
      <c r="CJ638" s="1286"/>
      <c r="CK638" s="1286"/>
      <c r="CL638" s="1287"/>
      <c r="CM638" s="1294">
        <f>IF(J761="5 Bedrooms",O761,0)</f>
        <v>0</v>
      </c>
      <c r="CN638" s="1295"/>
      <c r="CO638" s="1295"/>
      <c r="CP638" s="1295"/>
      <c r="CQ638" s="1296"/>
      <c r="CR638" s="41"/>
      <c r="CS638" s="41"/>
    </row>
    <row r="639" spans="2:126" ht="12.95" customHeight="1">
      <c r="B639" s="58" t="s">
        <v>32</v>
      </c>
      <c r="C639" s="1316"/>
      <c r="D639" s="1316"/>
      <c r="E639" s="1316"/>
      <c r="F639" s="1316"/>
      <c r="G639" s="1316"/>
      <c r="H639" s="1316"/>
      <c r="I639" s="1316"/>
      <c r="J639" s="1316"/>
      <c r="K639" s="1316"/>
      <c r="L639" s="1316"/>
      <c r="M639" s="1403" t="s">
        <v>1965</v>
      </c>
      <c r="N639" s="1403"/>
      <c r="O639" s="1403"/>
      <c r="P639" s="1403"/>
      <c r="Q639" s="1459"/>
      <c r="R639" s="1460"/>
      <c r="S639" s="1461"/>
      <c r="T639" s="1438"/>
      <c r="U639" s="1439"/>
      <c r="V639" s="1440"/>
      <c r="W639" s="1400"/>
      <c r="X639" s="1401"/>
      <c r="Y639" s="1402"/>
      <c r="Z639" s="1394" t="s">
        <v>1965</v>
      </c>
      <c r="AA639" s="1395"/>
      <c r="AB639" s="1396"/>
      <c r="AC639" s="1363"/>
      <c r="AD639" s="1364"/>
      <c r="AE639" s="1365"/>
      <c r="AF639" s="1228"/>
      <c r="AG639" s="1229"/>
      <c r="AH639" s="1229"/>
      <c r="AI639" s="1229"/>
      <c r="AJ639" s="1230"/>
      <c r="AK639" s="1397"/>
      <c r="AL639" s="1398"/>
      <c r="AM639" s="1398"/>
      <c r="AN639" s="1399"/>
      <c r="AO639" s="1121"/>
      <c r="AP639" s="1121"/>
      <c r="AQ639" s="1121"/>
      <c r="AR639" s="1121"/>
      <c r="AS639" s="1121"/>
      <c r="AT639" s="942" t="str">
        <f t="shared" si="27"/>
        <v/>
      </c>
      <c r="AU639" s="41"/>
      <c r="AV639" s="41"/>
      <c r="AW639" s="41"/>
      <c r="AX639" s="41"/>
      <c r="AY639" s="41"/>
      <c r="AZ639" s="41"/>
      <c r="BN639" s="1285">
        <f>IF(J762="SRO/Studio",O762,0)</f>
        <v>0</v>
      </c>
      <c r="BO639" s="1286"/>
      <c r="BP639" s="1286"/>
      <c r="BQ639" s="1286"/>
      <c r="BR639" s="1287"/>
      <c r="BS639" s="1285">
        <f>IF(J762="1 Bedroom",O762,0)</f>
        <v>0</v>
      </c>
      <c r="BT639" s="1286"/>
      <c r="BU639" s="1286"/>
      <c r="BV639" s="1286"/>
      <c r="BW639" s="1287"/>
      <c r="BX639" s="1285">
        <f>IF(J762="2 Bedrooms",O762,0)</f>
        <v>0</v>
      </c>
      <c r="BY639" s="1286"/>
      <c r="BZ639" s="1286"/>
      <c r="CA639" s="1286"/>
      <c r="CB639" s="1287"/>
      <c r="CC639" s="1285">
        <f>IF(J762="3 Bedrooms",O762,0)</f>
        <v>0</v>
      </c>
      <c r="CD639" s="1286"/>
      <c r="CE639" s="1286"/>
      <c r="CF639" s="1286"/>
      <c r="CG639" s="1287"/>
      <c r="CH639" s="1285">
        <f>IF(J762="4 Bedrooms",O762,0)</f>
        <v>0</v>
      </c>
      <c r="CI639" s="1286"/>
      <c r="CJ639" s="1286"/>
      <c r="CK639" s="1286"/>
      <c r="CL639" s="1287"/>
      <c r="CM639" s="1294">
        <f>IF(J762="5 Bedrooms",O762,0)</f>
        <v>0</v>
      </c>
      <c r="CN639" s="1295"/>
      <c r="CO639" s="1295"/>
      <c r="CP639" s="1295"/>
      <c r="CQ639" s="1296"/>
      <c r="CR639" s="41"/>
      <c r="CS639" s="41"/>
    </row>
    <row r="640" spans="2:126" ht="12.95" customHeight="1">
      <c r="B640" s="58" t="s">
        <v>33</v>
      </c>
      <c r="C640" s="1316"/>
      <c r="D640" s="1316"/>
      <c r="E640" s="1316"/>
      <c r="F640" s="1316"/>
      <c r="G640" s="1316"/>
      <c r="H640" s="1316"/>
      <c r="I640" s="1316"/>
      <c r="J640" s="1316"/>
      <c r="K640" s="1316"/>
      <c r="L640" s="1316"/>
      <c r="M640" s="1403" t="s">
        <v>1965</v>
      </c>
      <c r="N640" s="1403"/>
      <c r="O640" s="1403"/>
      <c r="P640" s="1403"/>
      <c r="Q640" s="1459"/>
      <c r="R640" s="1460"/>
      <c r="S640" s="1461"/>
      <c r="T640" s="1438"/>
      <c r="U640" s="1439"/>
      <c r="V640" s="1440"/>
      <c r="W640" s="1400"/>
      <c r="X640" s="1401"/>
      <c r="Y640" s="1402"/>
      <c r="Z640" s="1394" t="s">
        <v>1965</v>
      </c>
      <c r="AA640" s="1395"/>
      <c r="AB640" s="1396"/>
      <c r="AC640" s="1363"/>
      <c r="AD640" s="1364"/>
      <c r="AE640" s="1365"/>
      <c r="AF640" s="1228"/>
      <c r="AG640" s="1229"/>
      <c r="AH640" s="1229"/>
      <c r="AI640" s="1229"/>
      <c r="AJ640" s="1230"/>
      <c r="AK640" s="1397"/>
      <c r="AL640" s="1398"/>
      <c r="AM640" s="1398"/>
      <c r="AN640" s="1399"/>
      <c r="AO640" s="1121"/>
      <c r="AP640" s="1121"/>
      <c r="AQ640" s="1121"/>
      <c r="AR640" s="1121"/>
      <c r="AS640" s="1121"/>
      <c r="AT640" s="942" t="str">
        <f t="shared" si="27"/>
        <v/>
      </c>
      <c r="AU640" s="43"/>
      <c r="AV640" s="43"/>
      <c r="AW640" s="43"/>
      <c r="AX640" s="43"/>
      <c r="AY640" s="43"/>
      <c r="AZ640" s="43"/>
      <c r="BN640" s="1285">
        <f>IF(J763="SRO/Studio",O763,0)</f>
        <v>0</v>
      </c>
      <c r="BO640" s="1286"/>
      <c r="BP640" s="1286"/>
      <c r="BQ640" s="1286"/>
      <c r="BR640" s="1287"/>
      <c r="BS640" s="1285">
        <f>IF(J763="1 Bedroom",O763,0)</f>
        <v>0</v>
      </c>
      <c r="BT640" s="1286"/>
      <c r="BU640" s="1286"/>
      <c r="BV640" s="1286"/>
      <c r="BW640" s="1287"/>
      <c r="BX640" s="1285">
        <f>IF(J763="2 Bedrooms",O763,0)</f>
        <v>0</v>
      </c>
      <c r="BY640" s="1286"/>
      <c r="BZ640" s="1286"/>
      <c r="CA640" s="1286"/>
      <c r="CB640" s="1287"/>
      <c r="CC640" s="1285">
        <f>IF(J763="3 Bedrooms",O763,0)</f>
        <v>0</v>
      </c>
      <c r="CD640" s="1286"/>
      <c r="CE640" s="1286"/>
      <c r="CF640" s="1286"/>
      <c r="CG640" s="1287"/>
      <c r="CH640" s="1285">
        <f>IF(J763="4 Bedrooms",O763,0)</f>
        <v>0</v>
      </c>
      <c r="CI640" s="1286"/>
      <c r="CJ640" s="1286"/>
      <c r="CK640" s="1286"/>
      <c r="CL640" s="1287"/>
      <c r="CM640" s="1294">
        <f>IF(J763="5 Bedrooms",O763,0)</f>
        <v>0</v>
      </c>
      <c r="CN640" s="1295"/>
      <c r="CO640" s="1295"/>
      <c r="CP640" s="1295"/>
      <c r="CQ640" s="1296"/>
      <c r="CR640" s="41"/>
      <c r="CS640" s="41"/>
    </row>
    <row r="641" spans="1:99" ht="12.95" customHeight="1">
      <c r="B641" s="1208" t="s">
        <v>358</v>
      </c>
      <c r="C641" s="1209"/>
      <c r="D641" s="1209"/>
      <c r="E641" s="1209"/>
      <c r="F641" s="1209"/>
      <c r="G641" s="1209"/>
      <c r="H641" s="1209"/>
      <c r="I641" s="1209"/>
      <c r="J641" s="1209"/>
      <c r="K641" s="1209"/>
      <c r="L641" s="1209"/>
      <c r="M641" s="1209"/>
      <c r="N641" s="1209"/>
      <c r="O641" s="1209"/>
      <c r="P641" s="1209"/>
      <c r="Q641" s="1209"/>
      <c r="R641" s="1209"/>
      <c r="S641" s="1209"/>
      <c r="T641" s="1209"/>
      <c r="U641" s="1209"/>
      <c r="V641" s="1209"/>
      <c r="W641" s="1209"/>
      <c r="X641" s="1209"/>
      <c r="Y641" s="1209"/>
      <c r="Z641" s="1209"/>
      <c r="AA641" s="1209"/>
      <c r="AB641" s="1209"/>
      <c r="AC641" s="1209"/>
      <c r="AD641" s="1209"/>
      <c r="AE641" s="1209"/>
      <c r="AF641" s="1209"/>
      <c r="AG641" s="1209"/>
      <c r="AH641" s="1209"/>
      <c r="AI641" s="1209"/>
      <c r="AJ641" s="1209"/>
      <c r="AK641" s="1209"/>
      <c r="AL641" s="1209"/>
      <c r="AM641" s="1209"/>
      <c r="AN641" s="1210"/>
      <c r="AO641" s="1219">
        <f>SUM(AO629:AS640)</f>
        <v>15982602</v>
      </c>
      <c r="AP641" s="1220"/>
      <c r="AQ641" s="1220"/>
      <c r="AR641" s="1220"/>
      <c r="AS641" s="1221"/>
      <c r="AT641" s="43"/>
      <c r="AU641" s="43"/>
      <c r="AV641" s="43"/>
      <c r="AW641" s="43"/>
      <c r="AX641" s="43"/>
      <c r="AY641" s="43"/>
      <c r="AZ641" s="43"/>
      <c r="BN641" s="1288">
        <f>SUM(BN637:BR640)</f>
        <v>0</v>
      </c>
      <c r="BO641" s="1289"/>
      <c r="BP641" s="1289"/>
      <c r="BQ641" s="1289"/>
      <c r="BR641" s="1290"/>
      <c r="BS641" s="1288">
        <f>SUM(BS637:BW640)</f>
        <v>0</v>
      </c>
      <c r="BT641" s="1289"/>
      <c r="BU641" s="1289"/>
      <c r="BV641" s="1289"/>
      <c r="BW641" s="1290"/>
      <c r="BX641" s="1288">
        <f>SUM(BX637:CB640)</f>
        <v>0</v>
      </c>
      <c r="BY641" s="1289"/>
      <c r="BZ641" s="1289"/>
      <c r="CA641" s="1289"/>
      <c r="CB641" s="1290"/>
      <c r="CC641" s="1288">
        <f>SUM(CC637:CG640)</f>
        <v>1</v>
      </c>
      <c r="CD641" s="1289"/>
      <c r="CE641" s="1289"/>
      <c r="CF641" s="1289"/>
      <c r="CG641" s="1290"/>
      <c r="CH641" s="1288">
        <f>SUM(CH637:CL640)</f>
        <v>0</v>
      </c>
      <c r="CI641" s="1289"/>
      <c r="CJ641" s="1289"/>
      <c r="CK641" s="1289"/>
      <c r="CL641" s="1290"/>
      <c r="CM641" s="1288">
        <f>SUM(CM637:CQ640)</f>
        <v>0</v>
      </c>
      <c r="CN641" s="1289"/>
      <c r="CO641" s="1289"/>
      <c r="CP641" s="1289"/>
      <c r="CQ641" s="1290"/>
      <c r="CS641" s="464">
        <f>BN641+BS641+BX641+CC641+CH641+CM641</f>
        <v>1</v>
      </c>
      <c r="CT641" s="63" t="s">
        <v>1969</v>
      </c>
      <c r="CU641" s="41"/>
    </row>
    <row r="642" spans="1:99" ht="12.95" customHeight="1">
      <c r="B642" s="1208" t="s">
        <v>359</v>
      </c>
      <c r="C642" s="1209"/>
      <c r="D642" s="1209"/>
      <c r="E642" s="1209"/>
      <c r="F642" s="1209"/>
      <c r="G642" s="1209"/>
      <c r="H642" s="1209"/>
      <c r="I642" s="1209"/>
      <c r="J642" s="1209"/>
      <c r="K642" s="1209"/>
      <c r="L642" s="1209"/>
      <c r="M642" s="1209"/>
      <c r="N642" s="1209"/>
      <c r="O642" s="1209"/>
      <c r="P642" s="1209"/>
      <c r="Q642" s="1209"/>
      <c r="R642" s="1209"/>
      <c r="S642" s="1209"/>
      <c r="T642" s="1209"/>
      <c r="U642" s="1209"/>
      <c r="V642" s="1209"/>
      <c r="W642" s="1209"/>
      <c r="X642" s="1209"/>
      <c r="Y642" s="1209"/>
      <c r="Z642" s="1209"/>
      <c r="AA642" s="1209"/>
      <c r="AB642" s="1209"/>
      <c r="AC642" s="1209"/>
      <c r="AD642" s="1209"/>
      <c r="AE642" s="1209"/>
      <c r="AF642" s="1209"/>
      <c r="AG642" s="1209"/>
      <c r="AH642" s="1209"/>
      <c r="AI642" s="1209"/>
      <c r="AJ642" s="1209"/>
      <c r="AK642" s="1209"/>
      <c r="AL642" s="1209"/>
      <c r="AM642" s="1209"/>
      <c r="AN642" s="1210"/>
      <c r="AO642" s="1115">
        <v>12033168</v>
      </c>
      <c r="AP642" s="1116"/>
      <c r="AQ642" s="1116"/>
      <c r="AR642" s="1116"/>
      <c r="AS642" s="1117"/>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93" t="s">
        <v>940</v>
      </c>
      <c r="C643" s="1310"/>
      <c r="D643" s="1310"/>
      <c r="E643" s="1310"/>
      <c r="F643" s="1310"/>
      <c r="G643" s="1310"/>
      <c r="H643" s="1310"/>
      <c r="I643" s="1310"/>
      <c r="J643" s="1310"/>
      <c r="K643" s="1310"/>
      <c r="L643" s="1310"/>
      <c r="M643" s="1310"/>
      <c r="N643" s="1310"/>
      <c r="O643" s="1310"/>
      <c r="P643" s="1310"/>
      <c r="Q643" s="1310"/>
      <c r="R643" s="1310"/>
      <c r="S643" s="1310"/>
      <c r="T643" s="1310"/>
      <c r="U643" s="1310"/>
      <c r="V643" s="1310"/>
      <c r="W643" s="1310"/>
      <c r="X643" s="1310"/>
      <c r="Y643" s="1310"/>
      <c r="Z643" s="1310"/>
      <c r="AA643" s="1310"/>
      <c r="AB643" s="1310"/>
      <c r="AC643" s="1310"/>
      <c r="AD643" s="1310"/>
      <c r="AE643" s="1310"/>
      <c r="AF643" s="1310"/>
      <c r="AG643" s="1310"/>
      <c r="AH643" s="1310"/>
      <c r="AI643" s="1310"/>
      <c r="AJ643" s="1310"/>
      <c r="AK643" s="1310"/>
      <c r="AL643" s="1310"/>
      <c r="AM643" s="1310"/>
      <c r="AN643" s="1494"/>
      <c r="AO643" s="1219">
        <f>AO641+AO642</f>
        <v>28015770</v>
      </c>
      <c r="AP643" s="1220"/>
      <c r="AQ643" s="1220"/>
      <c r="AR643" s="1220"/>
      <c r="AS643" s="1221"/>
      <c r="AT643" s="43"/>
      <c r="AU643" s="43"/>
      <c r="AV643" s="43"/>
      <c r="AW643" s="43"/>
      <c r="AX643" s="43"/>
      <c r="AY643" s="43"/>
      <c r="AZ643" s="43"/>
      <c r="BN643" s="1285">
        <f t="shared" ref="BN643:BN652" si="28">IF(J774="SRO/Studio",O774,0)</f>
        <v>0</v>
      </c>
      <c r="BO643" s="1286"/>
      <c r="BP643" s="1286"/>
      <c r="BQ643" s="1286"/>
      <c r="BR643" s="1287"/>
      <c r="BS643" s="1285">
        <f t="shared" ref="BS643:BS652" si="29">IF(J774="1 Bedroom",O774,0)</f>
        <v>0</v>
      </c>
      <c r="BT643" s="1286"/>
      <c r="BU643" s="1286"/>
      <c r="BV643" s="1286"/>
      <c r="BW643" s="1287"/>
      <c r="BX643" s="1285">
        <f t="shared" ref="BX643:BX652" si="30">IF(J774="2 Bedrooms",O774,0)</f>
        <v>0</v>
      </c>
      <c r="BY643" s="1286"/>
      <c r="BZ643" s="1286"/>
      <c r="CA643" s="1286"/>
      <c r="CB643" s="1287"/>
      <c r="CC643" s="1285">
        <f t="shared" ref="CC643:CC652" si="31">IF(J774="3 Bedrooms",O774,0)</f>
        <v>0</v>
      </c>
      <c r="CD643" s="1286"/>
      <c r="CE643" s="1286"/>
      <c r="CF643" s="1286"/>
      <c r="CG643" s="1287"/>
      <c r="CH643" s="1285">
        <f t="shared" ref="CH643:CH652" si="32">IF(J774="4 Bedrooms",O774,0)</f>
        <v>0</v>
      </c>
      <c r="CI643" s="1286"/>
      <c r="CJ643" s="1286"/>
      <c r="CK643" s="1286"/>
      <c r="CL643" s="1287"/>
      <c r="CM643" s="1285">
        <f t="shared" ref="CM643:CM652" si="33">IF(J774="5 Bedrooms",O774,0)</f>
        <v>0</v>
      </c>
      <c r="CN643" s="1286"/>
      <c r="CO643" s="1286"/>
      <c r="CP643" s="1286"/>
      <c r="CQ643" s="1287"/>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85">
        <f t="shared" si="28"/>
        <v>0</v>
      </c>
      <c r="BO644" s="1286"/>
      <c r="BP644" s="1286"/>
      <c r="BQ644" s="1286"/>
      <c r="BR644" s="1287"/>
      <c r="BS644" s="1285">
        <f t="shared" si="29"/>
        <v>0</v>
      </c>
      <c r="BT644" s="1286"/>
      <c r="BU644" s="1286"/>
      <c r="BV644" s="1286"/>
      <c r="BW644" s="1287"/>
      <c r="BX644" s="1285">
        <f t="shared" si="30"/>
        <v>0</v>
      </c>
      <c r="BY644" s="1286"/>
      <c r="BZ644" s="1286"/>
      <c r="CA644" s="1286"/>
      <c r="CB644" s="1287"/>
      <c r="CC644" s="1285">
        <f t="shared" si="31"/>
        <v>0</v>
      </c>
      <c r="CD644" s="1286"/>
      <c r="CE644" s="1286"/>
      <c r="CF644" s="1286"/>
      <c r="CG644" s="1287"/>
      <c r="CH644" s="1285">
        <f t="shared" si="32"/>
        <v>0</v>
      </c>
      <c r="CI644" s="1286"/>
      <c r="CJ644" s="1286"/>
      <c r="CK644" s="1286"/>
      <c r="CL644" s="1287"/>
      <c r="CM644" s="1285">
        <f t="shared" si="33"/>
        <v>0</v>
      </c>
      <c r="CN644" s="1286"/>
      <c r="CO644" s="1286"/>
      <c r="CP644" s="1286"/>
      <c r="CQ644" s="1287"/>
      <c r="CR644" s="41"/>
      <c r="CS644" s="41"/>
    </row>
    <row r="645" spans="1:99" ht="12.95" customHeight="1">
      <c r="A645" s="61" t="s">
        <v>900</v>
      </c>
      <c r="B645" t="s">
        <v>82</v>
      </c>
      <c r="C645"/>
      <c r="G645" s="1088" t="str">
        <f>C629</f>
        <v>NPLH Capital Funds</v>
      </c>
      <c r="H645" s="1088"/>
      <c r="I645" s="1088"/>
      <c r="J645" s="1088"/>
      <c r="K645" s="1088"/>
      <c r="L645" s="1088"/>
      <c r="M645" s="1088"/>
      <c r="N645" s="1088"/>
      <c r="O645" s="1088"/>
      <c r="P645" s="1088"/>
      <c r="Q645" s="1088"/>
      <c r="R645" s="1088"/>
      <c r="S645" s="12"/>
      <c r="T645" s="61" t="s">
        <v>901</v>
      </c>
      <c r="U645" t="s">
        <v>82</v>
      </c>
      <c r="Z645" s="1088" t="str">
        <f>C630</f>
        <v>NPLH COSR Funds</v>
      </c>
      <c r="AA645" s="1088"/>
      <c r="AB645" s="1088"/>
      <c r="AC645" s="1088"/>
      <c r="AD645" s="1088"/>
      <c r="AE645" s="1088"/>
      <c r="AF645" s="1088"/>
      <c r="AG645" s="1088"/>
      <c r="AH645" s="1088"/>
      <c r="AI645" s="1088"/>
      <c r="AJ645" s="1088"/>
      <c r="AK645" s="1088"/>
      <c r="AM645" s="43"/>
      <c r="AN645" s="43"/>
      <c r="AO645" s="43"/>
      <c r="AP645" s="43"/>
      <c r="AQ645" s="43"/>
      <c r="AR645" s="43"/>
      <c r="AS645" s="43"/>
      <c r="AT645" s="43"/>
      <c r="AU645" s="43"/>
      <c r="AV645" s="43"/>
      <c r="AW645" s="43"/>
      <c r="AX645" s="43"/>
      <c r="AY645" s="43"/>
      <c r="AZ645" s="43"/>
      <c r="BN645" s="1285">
        <f t="shared" si="28"/>
        <v>0</v>
      </c>
      <c r="BO645" s="1286"/>
      <c r="BP645" s="1286"/>
      <c r="BQ645" s="1286"/>
      <c r="BR645" s="1287"/>
      <c r="BS645" s="1285">
        <f t="shared" si="29"/>
        <v>0</v>
      </c>
      <c r="BT645" s="1286"/>
      <c r="BU645" s="1286"/>
      <c r="BV645" s="1286"/>
      <c r="BW645" s="1287"/>
      <c r="BX645" s="1285">
        <f t="shared" si="30"/>
        <v>0</v>
      </c>
      <c r="BY645" s="1286"/>
      <c r="BZ645" s="1286"/>
      <c r="CA645" s="1286"/>
      <c r="CB645" s="1287"/>
      <c r="CC645" s="1285">
        <f t="shared" si="31"/>
        <v>0</v>
      </c>
      <c r="CD645" s="1286"/>
      <c r="CE645" s="1286"/>
      <c r="CF645" s="1286"/>
      <c r="CG645" s="1287"/>
      <c r="CH645" s="1285">
        <f t="shared" si="32"/>
        <v>0</v>
      </c>
      <c r="CI645" s="1286"/>
      <c r="CJ645" s="1286"/>
      <c r="CK645" s="1286"/>
      <c r="CL645" s="1287"/>
      <c r="CM645" s="1285">
        <f t="shared" si="33"/>
        <v>0</v>
      </c>
      <c r="CN645" s="1286"/>
      <c r="CO645" s="1286"/>
      <c r="CP645" s="1286"/>
      <c r="CQ645" s="1287"/>
      <c r="CR645" s="41"/>
      <c r="CS645" s="41"/>
    </row>
    <row r="646" spans="1:99" ht="12.95" customHeight="1">
      <c r="A646" s="4"/>
      <c r="B646" t="s">
        <v>372</v>
      </c>
      <c r="C646"/>
      <c r="G646" s="1087" t="s">
        <v>2424</v>
      </c>
      <c r="H646" s="1087"/>
      <c r="I646" s="1087"/>
      <c r="J646" s="1087"/>
      <c r="K646" s="1087"/>
      <c r="L646" s="1087"/>
      <c r="M646" s="1087"/>
      <c r="N646" s="1087"/>
      <c r="O646" s="1087"/>
      <c r="P646" s="1087"/>
      <c r="Q646" s="1087"/>
      <c r="R646" s="1087"/>
      <c r="S646" s="12"/>
      <c r="T646" s="4"/>
      <c r="U646" t="s">
        <v>372</v>
      </c>
      <c r="Z646" s="1087" t="s">
        <v>2424</v>
      </c>
      <c r="AA646" s="1087"/>
      <c r="AB646" s="1087"/>
      <c r="AC646" s="1087"/>
      <c r="AD646" s="1087"/>
      <c r="AE646" s="1087"/>
      <c r="AF646" s="1087"/>
      <c r="AG646" s="1087"/>
      <c r="AH646" s="1087"/>
      <c r="AI646" s="1087"/>
      <c r="AJ646" s="1087"/>
      <c r="AK646" s="1087"/>
      <c r="AM646" s="43"/>
      <c r="AN646" s="43"/>
      <c r="AO646" s="43"/>
      <c r="AP646" s="43"/>
      <c r="AQ646" s="43"/>
      <c r="AR646" s="43"/>
      <c r="AS646" s="43"/>
      <c r="AT646" s="43"/>
      <c r="AU646" s="43"/>
      <c r="AV646" s="43"/>
      <c r="AW646" s="43"/>
      <c r="AX646" s="43"/>
      <c r="AY646" s="43"/>
      <c r="AZ646" s="43"/>
      <c r="BN646" s="1285">
        <f t="shared" si="28"/>
        <v>0</v>
      </c>
      <c r="BO646" s="1286"/>
      <c r="BP646" s="1286"/>
      <c r="BQ646" s="1286"/>
      <c r="BR646" s="1287"/>
      <c r="BS646" s="1285">
        <f t="shared" si="29"/>
        <v>0</v>
      </c>
      <c r="BT646" s="1286"/>
      <c r="BU646" s="1286"/>
      <c r="BV646" s="1286"/>
      <c r="BW646" s="1287"/>
      <c r="BX646" s="1285">
        <f t="shared" si="30"/>
        <v>0</v>
      </c>
      <c r="BY646" s="1286"/>
      <c r="BZ646" s="1286"/>
      <c r="CA646" s="1286"/>
      <c r="CB646" s="1287"/>
      <c r="CC646" s="1285">
        <f t="shared" si="31"/>
        <v>0</v>
      </c>
      <c r="CD646" s="1286"/>
      <c r="CE646" s="1286"/>
      <c r="CF646" s="1286"/>
      <c r="CG646" s="1287"/>
      <c r="CH646" s="1285">
        <f t="shared" si="32"/>
        <v>0</v>
      </c>
      <c r="CI646" s="1286"/>
      <c r="CJ646" s="1286"/>
      <c r="CK646" s="1286"/>
      <c r="CL646" s="1287"/>
      <c r="CM646" s="1285">
        <f t="shared" si="33"/>
        <v>0</v>
      </c>
      <c r="CN646" s="1286"/>
      <c r="CO646" s="1286"/>
      <c r="CP646" s="1286"/>
      <c r="CQ646" s="1287"/>
      <c r="CR646" s="41"/>
      <c r="CS646" s="41"/>
    </row>
    <row r="647" spans="1:99" ht="12.95" customHeight="1">
      <c r="A647" s="4"/>
      <c r="B647" t="s">
        <v>430</v>
      </c>
      <c r="C647"/>
      <c r="G647" s="1087" t="s">
        <v>2425</v>
      </c>
      <c r="H647" s="1087"/>
      <c r="I647" s="1087"/>
      <c r="J647" s="1087"/>
      <c r="K647" s="1087"/>
      <c r="L647" s="1087"/>
      <c r="M647" s="1087"/>
      <c r="N647" s="1087"/>
      <c r="O647" s="1087"/>
      <c r="P647" s="1087"/>
      <c r="Q647" s="1087"/>
      <c r="R647" s="1087"/>
      <c r="T647" s="4"/>
      <c r="U647" t="s">
        <v>430</v>
      </c>
      <c r="Z647" s="1085" t="s">
        <v>2425</v>
      </c>
      <c r="AA647" s="1085"/>
      <c r="AB647" s="1085"/>
      <c r="AC647" s="1085"/>
      <c r="AD647" s="1085"/>
      <c r="AE647" s="1085"/>
      <c r="AF647" s="1085"/>
      <c r="AG647" s="1085"/>
      <c r="AH647" s="1085"/>
      <c r="AI647" s="1085"/>
      <c r="AJ647" s="1085"/>
      <c r="AK647" s="1085"/>
      <c r="AM647" s="43"/>
      <c r="AN647" s="43"/>
      <c r="AO647" s="43"/>
      <c r="AP647" s="43"/>
      <c r="AQ647" s="43"/>
      <c r="AR647" s="43"/>
      <c r="AS647" s="43"/>
      <c r="AT647" s="43"/>
      <c r="AU647" s="43"/>
      <c r="AV647" s="43"/>
      <c r="AW647" s="43"/>
      <c r="AX647" s="43"/>
      <c r="AY647" s="43"/>
      <c r="AZ647" s="43"/>
      <c r="BN647" s="1285">
        <f t="shared" si="28"/>
        <v>0</v>
      </c>
      <c r="BO647" s="1286"/>
      <c r="BP647" s="1286"/>
      <c r="BQ647" s="1286"/>
      <c r="BR647" s="1287"/>
      <c r="BS647" s="1285">
        <f t="shared" si="29"/>
        <v>0</v>
      </c>
      <c r="BT647" s="1286"/>
      <c r="BU647" s="1286"/>
      <c r="BV647" s="1286"/>
      <c r="BW647" s="1287"/>
      <c r="BX647" s="1285">
        <f t="shared" si="30"/>
        <v>0</v>
      </c>
      <c r="BY647" s="1286"/>
      <c r="BZ647" s="1286"/>
      <c r="CA647" s="1286"/>
      <c r="CB647" s="1287"/>
      <c r="CC647" s="1285">
        <f t="shared" si="31"/>
        <v>0</v>
      </c>
      <c r="CD647" s="1286"/>
      <c r="CE647" s="1286"/>
      <c r="CF647" s="1286"/>
      <c r="CG647" s="1287"/>
      <c r="CH647" s="1285">
        <f t="shared" si="32"/>
        <v>0</v>
      </c>
      <c r="CI647" s="1286"/>
      <c r="CJ647" s="1286"/>
      <c r="CK647" s="1286"/>
      <c r="CL647" s="1287"/>
      <c r="CM647" s="1285">
        <f t="shared" si="33"/>
        <v>0</v>
      </c>
      <c r="CN647" s="1286"/>
      <c r="CO647" s="1286"/>
      <c r="CP647" s="1286"/>
      <c r="CQ647" s="1287"/>
      <c r="CR647" s="41"/>
      <c r="CS647" s="41"/>
    </row>
    <row r="648" spans="1:99" ht="12.95" customHeight="1">
      <c r="A648" s="4"/>
      <c r="B648" t="s">
        <v>833</v>
      </c>
      <c r="C648"/>
      <c r="G648" s="1087"/>
      <c r="H648" s="1087"/>
      <c r="I648" s="1087"/>
      <c r="J648" s="1087"/>
      <c r="K648" s="1087"/>
      <c r="L648" s="1087"/>
      <c r="M648" s="1087"/>
      <c r="N648" s="1087"/>
      <c r="O648" s="1087"/>
      <c r="P648" s="1087"/>
      <c r="Q648" s="1087"/>
      <c r="R648" s="1087"/>
      <c r="S648" s="12"/>
      <c r="T648" s="4"/>
      <c r="U648" t="s">
        <v>833</v>
      </c>
      <c r="Z648" s="1085"/>
      <c r="AA648" s="1085"/>
      <c r="AB648" s="1085"/>
      <c r="AC648" s="1085"/>
      <c r="AD648" s="1085"/>
      <c r="AE648" s="1085"/>
      <c r="AF648" s="1085"/>
      <c r="AG648" s="1085"/>
      <c r="AH648" s="1085"/>
      <c r="AI648" s="1085"/>
      <c r="AJ648" s="1085"/>
      <c r="AK648" s="1085"/>
      <c r="AM648" s="43"/>
      <c r="AN648" s="43"/>
      <c r="AO648" s="43"/>
      <c r="AP648" s="43"/>
      <c r="AQ648" s="43"/>
      <c r="AR648" s="43"/>
      <c r="AS648" s="43"/>
      <c r="AT648" s="43"/>
      <c r="AU648" s="43"/>
      <c r="AV648" s="43"/>
      <c r="AW648" s="43"/>
      <c r="AX648" s="43"/>
      <c r="AY648" s="43"/>
      <c r="AZ648" s="43"/>
      <c r="BN648" s="1285">
        <f t="shared" si="28"/>
        <v>0</v>
      </c>
      <c r="BO648" s="1286"/>
      <c r="BP648" s="1286"/>
      <c r="BQ648" s="1286"/>
      <c r="BR648" s="1287"/>
      <c r="BS648" s="1285">
        <f t="shared" si="29"/>
        <v>0</v>
      </c>
      <c r="BT648" s="1286"/>
      <c r="BU648" s="1286"/>
      <c r="BV648" s="1286"/>
      <c r="BW648" s="1287"/>
      <c r="BX648" s="1285">
        <f t="shared" si="30"/>
        <v>0</v>
      </c>
      <c r="BY648" s="1286"/>
      <c r="BZ648" s="1286"/>
      <c r="CA648" s="1286"/>
      <c r="CB648" s="1287"/>
      <c r="CC648" s="1285">
        <f t="shared" si="31"/>
        <v>0</v>
      </c>
      <c r="CD648" s="1286"/>
      <c r="CE648" s="1286"/>
      <c r="CF648" s="1286"/>
      <c r="CG648" s="1287"/>
      <c r="CH648" s="1285">
        <f t="shared" si="32"/>
        <v>0</v>
      </c>
      <c r="CI648" s="1286"/>
      <c r="CJ648" s="1286"/>
      <c r="CK648" s="1286"/>
      <c r="CL648" s="1287"/>
      <c r="CM648" s="1285">
        <f t="shared" si="33"/>
        <v>0</v>
      </c>
      <c r="CN648" s="1286"/>
      <c r="CO648" s="1286"/>
      <c r="CP648" s="1286"/>
      <c r="CQ648" s="1287"/>
      <c r="CR648" s="41"/>
      <c r="CS648" s="41"/>
    </row>
    <row r="649" spans="1:99" ht="12.95" customHeight="1">
      <c r="A649" s="4"/>
      <c r="B649" t="s">
        <v>650</v>
      </c>
      <c r="C649"/>
      <c r="G649" s="1284" t="s">
        <v>2426</v>
      </c>
      <c r="H649" s="1284"/>
      <c r="I649" s="1284"/>
      <c r="J649" s="1284"/>
      <c r="K649" s="1284"/>
      <c r="L649" s="1284"/>
      <c r="O649" s="42" t="s">
        <v>818</v>
      </c>
      <c r="P649" s="1086"/>
      <c r="Q649" s="1086"/>
      <c r="R649" s="1086"/>
      <c r="S649" s="14"/>
      <c r="T649" s="4"/>
      <c r="U649" t="s">
        <v>650</v>
      </c>
      <c r="Z649" s="1284" t="s">
        <v>2426</v>
      </c>
      <c r="AA649" s="1284"/>
      <c r="AB649" s="1284"/>
      <c r="AC649" s="1284"/>
      <c r="AD649" s="1284"/>
      <c r="AE649" s="1284"/>
      <c r="AH649" s="42" t="s">
        <v>818</v>
      </c>
      <c r="AI649" s="1086"/>
      <c r="AJ649" s="1086"/>
      <c r="AK649" s="1086"/>
      <c r="AM649" s="43"/>
      <c r="AN649" s="43"/>
      <c r="AO649" s="43"/>
      <c r="AP649" s="43"/>
      <c r="AQ649" s="43"/>
      <c r="AR649" s="43"/>
      <c r="AS649" s="43"/>
      <c r="AT649" s="43"/>
      <c r="AU649" s="43"/>
      <c r="AV649" s="43"/>
      <c r="AW649" s="43"/>
      <c r="AX649" s="43"/>
      <c r="AY649" s="43"/>
      <c r="AZ649" s="43"/>
      <c r="BN649" s="1285">
        <f t="shared" si="28"/>
        <v>0</v>
      </c>
      <c r="BO649" s="1286"/>
      <c r="BP649" s="1286"/>
      <c r="BQ649" s="1286"/>
      <c r="BR649" s="1287"/>
      <c r="BS649" s="1285">
        <f t="shared" si="29"/>
        <v>0</v>
      </c>
      <c r="BT649" s="1286"/>
      <c r="BU649" s="1286"/>
      <c r="BV649" s="1286"/>
      <c r="BW649" s="1287"/>
      <c r="BX649" s="1285">
        <f t="shared" si="30"/>
        <v>0</v>
      </c>
      <c r="BY649" s="1286"/>
      <c r="BZ649" s="1286"/>
      <c r="CA649" s="1286"/>
      <c r="CB649" s="1287"/>
      <c r="CC649" s="1285">
        <f t="shared" si="31"/>
        <v>0</v>
      </c>
      <c r="CD649" s="1286"/>
      <c r="CE649" s="1286"/>
      <c r="CF649" s="1286"/>
      <c r="CG649" s="1287"/>
      <c r="CH649" s="1285">
        <f t="shared" si="32"/>
        <v>0</v>
      </c>
      <c r="CI649" s="1286"/>
      <c r="CJ649" s="1286"/>
      <c r="CK649" s="1286"/>
      <c r="CL649" s="1287"/>
      <c r="CM649" s="1285">
        <f t="shared" si="33"/>
        <v>0</v>
      </c>
      <c r="CN649" s="1286"/>
      <c r="CO649" s="1286"/>
      <c r="CP649" s="1286"/>
      <c r="CQ649" s="1287"/>
      <c r="CR649" s="41"/>
      <c r="CS649" s="41"/>
    </row>
    <row r="650" spans="1:99" ht="12.95" customHeight="1">
      <c r="A650" s="4"/>
      <c r="B650" t="s">
        <v>834</v>
      </c>
      <c r="C650"/>
      <c r="H650" s="1087" t="s">
        <v>2427</v>
      </c>
      <c r="I650" s="1087"/>
      <c r="J650" s="1087"/>
      <c r="K650" s="1087"/>
      <c r="L650" s="1087"/>
      <c r="M650" s="1087"/>
      <c r="N650" s="1087"/>
      <c r="O650" s="1087"/>
      <c r="P650" s="1087"/>
      <c r="Q650" s="1087"/>
      <c r="R650" s="1087"/>
      <c r="S650" s="12"/>
      <c r="T650" s="4"/>
      <c r="U650" t="s">
        <v>834</v>
      </c>
      <c r="AA650" s="1087" t="s">
        <v>2427</v>
      </c>
      <c r="AB650" s="1087"/>
      <c r="AC650" s="1087"/>
      <c r="AD650" s="1087"/>
      <c r="AE650" s="1087"/>
      <c r="AF650" s="1087"/>
      <c r="AG650" s="1087"/>
      <c r="AH650" s="1087"/>
      <c r="AI650" s="1087"/>
      <c r="AJ650" s="1087"/>
      <c r="AK650" s="1087"/>
      <c r="AM650" s="43"/>
      <c r="AN650" s="43"/>
      <c r="AO650" s="43"/>
      <c r="AP650" s="43"/>
      <c r="AQ650" s="43"/>
      <c r="AR650" s="43"/>
      <c r="AS650" s="43"/>
      <c r="AT650" s="43"/>
      <c r="AU650" s="43"/>
      <c r="AV650" s="43"/>
      <c r="AW650" s="43"/>
      <c r="AX650" s="43"/>
      <c r="AY650" s="43"/>
      <c r="AZ650" s="43"/>
      <c r="BN650" s="1285">
        <f t="shared" si="28"/>
        <v>0</v>
      </c>
      <c r="BO650" s="1286"/>
      <c r="BP650" s="1286"/>
      <c r="BQ650" s="1286"/>
      <c r="BR650" s="1287"/>
      <c r="BS650" s="1285">
        <f t="shared" si="29"/>
        <v>0</v>
      </c>
      <c r="BT650" s="1286"/>
      <c r="BU650" s="1286"/>
      <c r="BV650" s="1286"/>
      <c r="BW650" s="1287"/>
      <c r="BX650" s="1285">
        <f t="shared" si="30"/>
        <v>0</v>
      </c>
      <c r="BY650" s="1286"/>
      <c r="BZ650" s="1286"/>
      <c r="CA650" s="1286"/>
      <c r="CB650" s="1287"/>
      <c r="CC650" s="1285">
        <f t="shared" si="31"/>
        <v>0</v>
      </c>
      <c r="CD650" s="1286"/>
      <c r="CE650" s="1286"/>
      <c r="CF650" s="1286"/>
      <c r="CG650" s="1287"/>
      <c r="CH650" s="1285">
        <f t="shared" si="32"/>
        <v>0</v>
      </c>
      <c r="CI650" s="1286"/>
      <c r="CJ650" s="1286"/>
      <c r="CK650" s="1286"/>
      <c r="CL650" s="1287"/>
      <c r="CM650" s="1285">
        <f t="shared" si="33"/>
        <v>0</v>
      </c>
      <c r="CN650" s="1286"/>
      <c r="CO650" s="1286"/>
      <c r="CP650" s="1286"/>
      <c r="CQ650" s="1287"/>
      <c r="CR650" s="41"/>
      <c r="CS650" s="41"/>
    </row>
    <row r="651" spans="1:99" ht="12.95" customHeight="1">
      <c r="A651" s="5"/>
      <c r="B651" t="s">
        <v>836</v>
      </c>
      <c r="C651"/>
      <c r="N651" s="1084" t="s">
        <v>108</v>
      </c>
      <c r="O651" s="1084"/>
      <c r="T651" s="4"/>
      <c r="U651" t="s">
        <v>836</v>
      </c>
      <c r="AG651" s="1084" t="s">
        <v>108</v>
      </c>
      <c r="AH651" s="1084"/>
      <c r="AM651" s="43"/>
      <c r="AN651" s="43"/>
      <c r="AO651" s="43"/>
      <c r="AP651" s="43"/>
      <c r="AQ651" s="43"/>
      <c r="AR651" s="43"/>
      <c r="AS651" s="43"/>
      <c r="AT651" s="43"/>
      <c r="AU651" s="43"/>
      <c r="AV651" s="43"/>
      <c r="AW651" s="43"/>
      <c r="AX651" s="43"/>
      <c r="AY651" s="43"/>
      <c r="AZ651" s="43"/>
      <c r="BA651" s="43"/>
      <c r="BB651" s="41"/>
      <c r="BC651" s="41"/>
      <c r="BD651" s="41"/>
      <c r="BN651" s="1285">
        <f t="shared" si="28"/>
        <v>0</v>
      </c>
      <c r="BO651" s="1286"/>
      <c r="BP651" s="1286"/>
      <c r="BQ651" s="1286"/>
      <c r="BR651" s="1287"/>
      <c r="BS651" s="1285">
        <f t="shared" si="29"/>
        <v>0</v>
      </c>
      <c r="BT651" s="1286"/>
      <c r="BU651" s="1286"/>
      <c r="BV651" s="1286"/>
      <c r="BW651" s="1287"/>
      <c r="BX651" s="1285">
        <f t="shared" si="30"/>
        <v>0</v>
      </c>
      <c r="BY651" s="1286"/>
      <c r="BZ651" s="1286"/>
      <c r="CA651" s="1286"/>
      <c r="CB651" s="1287"/>
      <c r="CC651" s="1285">
        <f t="shared" si="31"/>
        <v>0</v>
      </c>
      <c r="CD651" s="1286"/>
      <c r="CE651" s="1286"/>
      <c r="CF651" s="1286"/>
      <c r="CG651" s="1287"/>
      <c r="CH651" s="1285">
        <f t="shared" si="32"/>
        <v>0</v>
      </c>
      <c r="CI651" s="1286"/>
      <c r="CJ651" s="1286"/>
      <c r="CK651" s="1286"/>
      <c r="CL651" s="1287"/>
      <c r="CM651" s="1285">
        <f t="shared" si="33"/>
        <v>0</v>
      </c>
      <c r="CN651" s="1286"/>
      <c r="CO651" s="1286"/>
      <c r="CP651" s="1286"/>
      <c r="CQ651" s="1287"/>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85">
        <f t="shared" si="28"/>
        <v>0</v>
      </c>
      <c r="BO652" s="1286"/>
      <c r="BP652" s="1286"/>
      <c r="BQ652" s="1286"/>
      <c r="BR652" s="1287"/>
      <c r="BS652" s="1285">
        <f t="shared" si="29"/>
        <v>0</v>
      </c>
      <c r="BT652" s="1286"/>
      <c r="BU652" s="1286"/>
      <c r="BV652" s="1286"/>
      <c r="BW652" s="1287"/>
      <c r="BX652" s="1285">
        <f t="shared" si="30"/>
        <v>0</v>
      </c>
      <c r="BY652" s="1286"/>
      <c r="BZ652" s="1286"/>
      <c r="CA652" s="1286"/>
      <c r="CB652" s="1287"/>
      <c r="CC652" s="1285">
        <f t="shared" si="31"/>
        <v>0</v>
      </c>
      <c r="CD652" s="1286"/>
      <c r="CE652" s="1286"/>
      <c r="CF652" s="1286"/>
      <c r="CG652" s="1287"/>
      <c r="CH652" s="1285">
        <f t="shared" si="32"/>
        <v>0</v>
      </c>
      <c r="CI652" s="1286"/>
      <c r="CJ652" s="1286"/>
      <c r="CK652" s="1286"/>
      <c r="CL652" s="1287"/>
      <c r="CM652" s="1285">
        <f t="shared" si="33"/>
        <v>0</v>
      </c>
      <c r="CN652" s="1286"/>
      <c r="CO652" s="1286"/>
      <c r="CP652" s="1286"/>
      <c r="CQ652" s="1287"/>
      <c r="CR652" s="41"/>
      <c r="CS652" s="41"/>
    </row>
    <row r="653" spans="1:99" ht="12.95" customHeight="1">
      <c r="A653" s="61" t="s">
        <v>907</v>
      </c>
      <c r="B653" t="s">
        <v>82</v>
      </c>
      <c r="C653"/>
      <c r="G653" s="1088" t="str">
        <f>C631</f>
        <v>Solar Tax Credit Equity</v>
      </c>
      <c r="H653" s="1088"/>
      <c r="I653" s="1088"/>
      <c r="J653" s="1088"/>
      <c r="K653" s="1088"/>
      <c r="L653" s="1088"/>
      <c r="M653" s="1088"/>
      <c r="N653" s="1088"/>
      <c r="O653" s="1088"/>
      <c r="P653" s="1088"/>
      <c r="Q653" s="1088"/>
      <c r="R653" s="1088"/>
      <c r="T653" s="61" t="s">
        <v>431</v>
      </c>
      <c r="U653" t="s">
        <v>82</v>
      </c>
      <c r="Z653" s="1088" t="str">
        <f>C632</f>
        <v>HOME Funds</v>
      </c>
      <c r="AA653" s="1088"/>
      <c r="AB653" s="1088"/>
      <c r="AC653" s="1088"/>
      <c r="AD653" s="1088"/>
      <c r="AE653" s="1088"/>
      <c r="AF653" s="1088"/>
      <c r="AG653" s="1088"/>
      <c r="AH653" s="1088"/>
      <c r="AI653" s="1088"/>
      <c r="AJ653" s="1088"/>
      <c r="AK653" s="1088"/>
      <c r="AM653" s="43"/>
      <c r="AN653" s="43"/>
      <c r="AO653" s="43"/>
      <c r="AP653" s="43"/>
      <c r="AQ653" s="43"/>
      <c r="AR653" s="43"/>
      <c r="AS653" s="43"/>
      <c r="AT653" s="43"/>
      <c r="AU653" s="43"/>
      <c r="AV653" s="43"/>
      <c r="AW653" s="43"/>
      <c r="AX653" s="43"/>
      <c r="AY653" s="43"/>
      <c r="AZ653" s="43"/>
      <c r="BA653" s="43"/>
      <c r="BB653" s="41"/>
      <c r="BC653" s="41"/>
      <c r="BD653" s="41"/>
      <c r="BN653" s="1288">
        <f>SUM(BN643:BR652)</f>
        <v>0</v>
      </c>
      <c r="BO653" s="1289"/>
      <c r="BP653" s="1289"/>
      <c r="BQ653" s="1289"/>
      <c r="BR653" s="1290"/>
      <c r="BS653" s="1288">
        <f>SUM(BS643:BW652)</f>
        <v>0</v>
      </c>
      <c r="BT653" s="1289"/>
      <c r="BU653" s="1289"/>
      <c r="BV653" s="1289"/>
      <c r="BW653" s="1290"/>
      <c r="BX653" s="1288">
        <f>SUM(BX643:CB652)</f>
        <v>0</v>
      </c>
      <c r="BY653" s="1289"/>
      <c r="BZ653" s="1289"/>
      <c r="CA653" s="1289"/>
      <c r="CB653" s="1290"/>
      <c r="CC653" s="1288">
        <f>SUM(CC643:CG652)</f>
        <v>0</v>
      </c>
      <c r="CD653" s="1289"/>
      <c r="CE653" s="1289"/>
      <c r="CF653" s="1289"/>
      <c r="CG653" s="1290"/>
      <c r="CH653" s="1288">
        <f>SUM(CH643:CL652)</f>
        <v>0</v>
      </c>
      <c r="CI653" s="1289"/>
      <c r="CJ653" s="1289"/>
      <c r="CK653" s="1289"/>
      <c r="CL653" s="1290"/>
      <c r="CM653" s="1288">
        <f>SUM(CM643:CQ652)</f>
        <v>0</v>
      </c>
      <c r="CN653" s="1289"/>
      <c r="CO653" s="1289"/>
      <c r="CP653" s="1289"/>
      <c r="CQ653" s="1290"/>
      <c r="CR653" s="41"/>
      <c r="CS653" s="41"/>
    </row>
    <row r="654" spans="1:99" ht="12.95" customHeight="1" thickBot="1">
      <c r="A654" s="4"/>
      <c r="B654" t="s">
        <v>372</v>
      </c>
      <c r="C654"/>
      <c r="G654" s="1087" t="s">
        <v>2390</v>
      </c>
      <c r="H654" s="1087"/>
      <c r="I654" s="1087"/>
      <c r="J654" s="1087"/>
      <c r="K654" s="1087"/>
      <c r="L654" s="1087"/>
      <c r="M654" s="1087"/>
      <c r="N654" s="1087"/>
      <c r="O654" s="1087"/>
      <c r="P654" s="1087"/>
      <c r="Q654" s="1087"/>
      <c r="R654" s="1087"/>
      <c r="T654" s="4"/>
      <c r="U654" t="s">
        <v>372</v>
      </c>
      <c r="Z654" s="1087" t="s">
        <v>2424</v>
      </c>
      <c r="AA654" s="1087"/>
      <c r="AB654" s="1087"/>
      <c r="AC654" s="1087"/>
      <c r="AD654" s="1087"/>
      <c r="AE654" s="1087"/>
      <c r="AF654" s="1087"/>
      <c r="AG654" s="1087"/>
      <c r="AH654" s="1087"/>
      <c r="AI654" s="1087"/>
      <c r="AJ654" s="1087"/>
      <c r="AK654" s="1087"/>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85" t="s">
        <v>2391</v>
      </c>
      <c r="H655" s="1085"/>
      <c r="I655" s="1085"/>
      <c r="J655" s="1085"/>
      <c r="K655" s="1085"/>
      <c r="L655" s="1085"/>
      <c r="M655" s="1085"/>
      <c r="N655" s="1085"/>
      <c r="O655" s="1085"/>
      <c r="P655" s="1085"/>
      <c r="Q655" s="1085"/>
      <c r="R655" s="1085"/>
      <c r="T655" s="4"/>
      <c r="U655" t="s">
        <v>430</v>
      </c>
      <c r="Z655" s="1085" t="s">
        <v>2425</v>
      </c>
      <c r="AA655" s="1085"/>
      <c r="AB655" s="1085"/>
      <c r="AC655" s="1085"/>
      <c r="AD655" s="1085"/>
      <c r="AE655" s="1085"/>
      <c r="AF655" s="1085"/>
      <c r="AG655" s="1085"/>
      <c r="AH655" s="1085"/>
      <c r="AI655" s="1085"/>
      <c r="AJ655" s="1085"/>
      <c r="AK655" s="1085"/>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85" t="s">
        <v>2418</v>
      </c>
      <c r="H656" s="1085"/>
      <c r="I656" s="1085"/>
      <c r="J656" s="1085"/>
      <c r="K656" s="1085"/>
      <c r="L656" s="1085"/>
      <c r="M656" s="1085"/>
      <c r="N656" s="1085"/>
      <c r="O656" s="1085"/>
      <c r="P656" s="1085"/>
      <c r="Q656" s="1085"/>
      <c r="R656" s="1085"/>
      <c r="T656" s="4"/>
      <c r="U656" t="s">
        <v>833</v>
      </c>
      <c r="Z656" s="1085"/>
      <c r="AA656" s="1085"/>
      <c r="AB656" s="1085"/>
      <c r="AC656" s="1085"/>
      <c r="AD656" s="1085"/>
      <c r="AE656" s="1085"/>
      <c r="AF656" s="1085"/>
      <c r="AG656" s="1085"/>
      <c r="AH656" s="1085"/>
      <c r="AI656" s="1085"/>
      <c r="AJ656" s="1085"/>
      <c r="AK656" s="108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284" t="s">
        <v>2393</v>
      </c>
      <c r="H657" s="1284"/>
      <c r="I657" s="1284"/>
      <c r="J657" s="1284"/>
      <c r="K657" s="1284"/>
      <c r="L657" s="1284"/>
      <c r="O657" s="42" t="s">
        <v>818</v>
      </c>
      <c r="P657" s="1086"/>
      <c r="Q657" s="1086"/>
      <c r="R657" s="1086"/>
      <c r="T657" s="4"/>
      <c r="U657" t="s">
        <v>650</v>
      </c>
      <c r="Z657" s="1284" t="s">
        <v>2426</v>
      </c>
      <c r="AA657" s="1284"/>
      <c r="AB657" s="1284"/>
      <c r="AC657" s="1284"/>
      <c r="AD657" s="1284"/>
      <c r="AE657" s="1284"/>
      <c r="AH657" s="42" t="s">
        <v>818</v>
      </c>
      <c r="AI657" s="1086"/>
      <c r="AJ657" s="1086"/>
      <c r="AK657" s="108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47</v>
      </c>
      <c r="CR657" s="41"/>
      <c r="CS657" s="41"/>
    </row>
    <row r="658" spans="1:97" ht="12.95" customHeight="1">
      <c r="A658" s="4"/>
      <c r="B658" t="s">
        <v>834</v>
      </c>
      <c r="C658"/>
      <c r="H658" s="1087" t="s">
        <v>2419</v>
      </c>
      <c r="I658" s="1087"/>
      <c r="J658" s="1087"/>
      <c r="K658" s="1087"/>
      <c r="L658" s="1087"/>
      <c r="M658" s="1087"/>
      <c r="N658" s="1087"/>
      <c r="O658" s="1087"/>
      <c r="P658" s="1087"/>
      <c r="Q658" s="1087"/>
      <c r="R658" s="1087"/>
      <c r="T658" s="4"/>
      <c r="U658" t="s">
        <v>834</v>
      </c>
      <c r="AA658" s="1087" t="s">
        <v>2427</v>
      </c>
      <c r="AB658" s="1087"/>
      <c r="AC658" s="1087"/>
      <c r="AD658" s="1087"/>
      <c r="AE658" s="1087"/>
      <c r="AF658" s="1087"/>
      <c r="AG658" s="1087"/>
      <c r="AH658" s="1087"/>
      <c r="AI658" s="1087"/>
      <c r="AJ658" s="1087"/>
      <c r="AK658" s="1087"/>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084" t="s">
        <v>108</v>
      </c>
      <c r="O659" s="1084"/>
      <c r="T659" s="4"/>
      <c r="U659" t="s">
        <v>836</v>
      </c>
      <c r="AG659" s="1084" t="s">
        <v>108</v>
      </c>
      <c r="AH659" s="1084"/>
      <c r="AM659" s="41"/>
      <c r="AN659" s="41"/>
      <c r="AO659" s="41"/>
      <c r="AP659" s="41"/>
      <c r="AQ659" s="41"/>
      <c r="AR659" s="41"/>
      <c r="AS659" s="41"/>
      <c r="AT659" s="41"/>
      <c r="AU659" s="41"/>
      <c r="AV659" s="41"/>
      <c r="AW659" s="41"/>
      <c r="AX659" s="41"/>
      <c r="AY659" s="41"/>
      <c r="AZ659" s="41"/>
      <c r="BA659" s="41"/>
      <c r="BB659" s="41"/>
      <c r="BC659" s="41"/>
      <c r="BD659" s="41"/>
      <c r="BN659" s="1288">
        <f>BN634+BN641+BN653</f>
        <v>18</v>
      </c>
      <c r="BO659" s="1289"/>
      <c r="BP659" s="1289"/>
      <c r="BQ659" s="1289"/>
      <c r="BR659" s="1290"/>
      <c r="BS659" s="1288">
        <f>BS634+BS641+BS653</f>
        <v>25</v>
      </c>
      <c r="BT659" s="1289"/>
      <c r="BU659" s="1289"/>
      <c r="BV659" s="1289"/>
      <c r="BW659" s="1290"/>
      <c r="BX659" s="1288">
        <f>BX634+BX641+BX653</f>
        <v>2</v>
      </c>
      <c r="BY659" s="1289"/>
      <c r="BZ659" s="1289"/>
      <c r="CA659" s="1289"/>
      <c r="CB659" s="1290"/>
      <c r="CC659" s="1288">
        <f>CC634+CC641+CC653</f>
        <v>1</v>
      </c>
      <c r="CD659" s="1289"/>
      <c r="CE659" s="1289"/>
      <c r="CF659" s="1289"/>
      <c r="CG659" s="1290"/>
      <c r="CH659" s="1288">
        <f>CH634+CH641+CH653</f>
        <v>0</v>
      </c>
      <c r="CI659" s="1289"/>
      <c r="CJ659" s="1289"/>
      <c r="CK659" s="1289"/>
      <c r="CL659" s="1290"/>
      <c r="CM659" s="1291">
        <f>CM653+CM641+CM634</f>
        <v>0</v>
      </c>
      <c r="CN659" s="1292"/>
      <c r="CO659" s="1292"/>
      <c r="CP659" s="1292"/>
      <c r="CQ659" s="1293"/>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088">
        <f>C633</f>
        <v>0</v>
      </c>
      <c r="H661" s="1088"/>
      <c r="I661" s="1088"/>
      <c r="J661" s="1088"/>
      <c r="K661" s="1088"/>
      <c r="L661" s="1088"/>
      <c r="M661" s="1088"/>
      <c r="N661" s="1088"/>
      <c r="O661" s="1088"/>
      <c r="P661" s="1088"/>
      <c r="Q661" s="1088"/>
      <c r="R661" s="1088"/>
      <c r="T661" s="61" t="s">
        <v>434</v>
      </c>
      <c r="U661" t="s">
        <v>82</v>
      </c>
      <c r="Z661" s="1088">
        <f>C634</f>
        <v>0</v>
      </c>
      <c r="AA661" s="1088"/>
      <c r="AB661" s="1088"/>
      <c r="AC661" s="1088"/>
      <c r="AD661" s="1088"/>
      <c r="AE661" s="1088"/>
      <c r="AF661" s="1088"/>
      <c r="AG661" s="1088"/>
      <c r="AH661" s="1088"/>
      <c r="AI661" s="1088"/>
      <c r="AJ661" s="1088"/>
      <c r="AK661" s="108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87"/>
      <c r="H662" s="1087"/>
      <c r="I662" s="1087"/>
      <c r="J662" s="1087"/>
      <c r="K662" s="1087"/>
      <c r="L662" s="1087"/>
      <c r="M662" s="1087"/>
      <c r="N662" s="1087"/>
      <c r="O662" s="1087"/>
      <c r="P662" s="1087"/>
      <c r="Q662" s="1087"/>
      <c r="R662" s="1087"/>
      <c r="T662" s="4"/>
      <c r="U662" t="s">
        <v>372</v>
      </c>
      <c r="Z662" s="1087"/>
      <c r="AA662" s="1087"/>
      <c r="AB662" s="1087"/>
      <c r="AC662" s="1087"/>
      <c r="AD662" s="1087"/>
      <c r="AE662" s="1087"/>
      <c r="AF662" s="1087"/>
      <c r="AG662" s="1087"/>
      <c r="AH662" s="1087"/>
      <c r="AI662" s="1087"/>
      <c r="AJ662" s="1087"/>
      <c r="AK662" s="10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87"/>
      <c r="H663" s="1087"/>
      <c r="I663" s="1087"/>
      <c r="J663" s="1087"/>
      <c r="K663" s="1087"/>
      <c r="L663" s="1087"/>
      <c r="M663" s="1087"/>
      <c r="N663" s="1087"/>
      <c r="O663" s="1087"/>
      <c r="P663" s="1087"/>
      <c r="Q663" s="1087"/>
      <c r="R663" s="1087"/>
      <c r="T663" s="4"/>
      <c r="U663" t="s">
        <v>430</v>
      </c>
      <c r="Z663" s="1085"/>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87"/>
      <c r="H664" s="1087"/>
      <c r="I664" s="1087"/>
      <c r="J664" s="1087"/>
      <c r="K664" s="1087"/>
      <c r="L664" s="1087"/>
      <c r="M664" s="1087"/>
      <c r="N664" s="1087"/>
      <c r="O664" s="1087"/>
      <c r="P664" s="1087"/>
      <c r="Q664" s="1087"/>
      <c r="R664" s="1087"/>
      <c r="T664" s="4"/>
      <c r="U664" t="s">
        <v>833</v>
      </c>
      <c r="Z664" s="1085"/>
      <c r="AA664" s="1085"/>
      <c r="AB664" s="1085"/>
      <c r="AC664" s="1085"/>
      <c r="AD664" s="1085"/>
      <c r="AE664" s="1085"/>
      <c r="AF664" s="1085"/>
      <c r="AG664" s="1085"/>
      <c r="AH664" s="1085"/>
      <c r="AI664" s="1085"/>
      <c r="AJ664" s="1085"/>
      <c r="AK664" s="108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284"/>
      <c r="H665" s="1284"/>
      <c r="I665" s="1284"/>
      <c r="J665" s="1284"/>
      <c r="K665" s="1284"/>
      <c r="L665" s="1284"/>
      <c r="O665" s="42" t="s">
        <v>818</v>
      </c>
      <c r="P665" s="1086"/>
      <c r="Q665" s="1086"/>
      <c r="R665" s="1086"/>
      <c r="T665" s="4"/>
      <c r="U665" t="s">
        <v>650</v>
      </c>
      <c r="Z665" s="1284"/>
      <c r="AA665" s="1284"/>
      <c r="AB665" s="1284"/>
      <c r="AC665" s="1284"/>
      <c r="AD665" s="1284"/>
      <c r="AE665" s="1284"/>
      <c r="AH665" s="42" t="s">
        <v>818</v>
      </c>
      <c r="AI665" s="1086"/>
      <c r="AJ665" s="1086"/>
      <c r="AK665" s="108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87"/>
      <c r="I666" s="1087"/>
      <c r="J666" s="1087"/>
      <c r="K666" s="1087"/>
      <c r="L666" s="1087"/>
      <c r="M666" s="1087"/>
      <c r="N666" s="1087"/>
      <c r="O666" s="1087"/>
      <c r="P666" s="1087"/>
      <c r="Q666" s="1087"/>
      <c r="R666" s="1087"/>
      <c r="T666" s="4"/>
      <c r="U666" t="s">
        <v>834</v>
      </c>
      <c r="AA666" s="1087"/>
      <c r="AB666" s="1087"/>
      <c r="AC666" s="1087"/>
      <c r="AD666" s="1087"/>
      <c r="AE666" s="1087"/>
      <c r="AF666" s="1087"/>
      <c r="AG666" s="1087"/>
      <c r="AH666" s="1087"/>
      <c r="AI666" s="1087"/>
      <c r="AJ666" s="1087"/>
      <c r="AK666" s="108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084"/>
      <c r="O667" s="1084"/>
      <c r="T667" s="4"/>
      <c r="U667" t="s">
        <v>836</v>
      </c>
      <c r="AG667" s="1084" t="s">
        <v>482</v>
      </c>
      <c r="AH667" s="108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088">
        <f>C635</f>
        <v>0</v>
      </c>
      <c r="H669" s="1088"/>
      <c r="I669" s="1088"/>
      <c r="J669" s="1088"/>
      <c r="K669" s="1088"/>
      <c r="L669" s="1088"/>
      <c r="M669" s="1088"/>
      <c r="N669" s="1088"/>
      <c r="O669" s="1088"/>
      <c r="P669" s="1088"/>
      <c r="Q669" s="1088"/>
      <c r="R669" s="1088"/>
      <c r="T669" s="61" t="s">
        <v>743</v>
      </c>
      <c r="U669" t="s">
        <v>82</v>
      </c>
      <c r="Z669" s="1088">
        <f>C636</f>
        <v>0</v>
      </c>
      <c r="AA669" s="1088"/>
      <c r="AB669" s="1088"/>
      <c r="AC669" s="1088"/>
      <c r="AD669" s="1088"/>
      <c r="AE669" s="1088"/>
      <c r="AF669" s="1088"/>
      <c r="AG669" s="1088"/>
      <c r="AH669" s="1088"/>
      <c r="AI669" s="1088"/>
      <c r="AJ669" s="1088"/>
      <c r="AK669" s="108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87"/>
      <c r="H670" s="1087"/>
      <c r="I670" s="1087"/>
      <c r="J670" s="1087"/>
      <c r="K670" s="1087"/>
      <c r="L670" s="1087"/>
      <c r="M670" s="1087"/>
      <c r="N670" s="1087"/>
      <c r="O670" s="1087"/>
      <c r="P670" s="1087"/>
      <c r="Q670" s="1087"/>
      <c r="R670" s="1087"/>
      <c r="T670" s="4"/>
      <c r="U670" t="s">
        <v>372</v>
      </c>
      <c r="Z670" s="1087"/>
      <c r="AA670" s="1087"/>
      <c r="AB670" s="1087"/>
      <c r="AC670" s="1087"/>
      <c r="AD670" s="1087"/>
      <c r="AE670" s="1087"/>
      <c r="AF670" s="1087"/>
      <c r="AG670" s="1087"/>
      <c r="AH670" s="1087"/>
      <c r="AI670" s="1087"/>
      <c r="AJ670" s="1087"/>
      <c r="AK670" s="108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87"/>
      <c r="H671" s="1087"/>
      <c r="I671" s="1087"/>
      <c r="J671" s="1087"/>
      <c r="K671" s="1087"/>
      <c r="L671" s="1087"/>
      <c r="M671" s="1087"/>
      <c r="N671" s="1087"/>
      <c r="O671" s="1087"/>
      <c r="P671" s="1087"/>
      <c r="Q671" s="1087"/>
      <c r="R671" s="1087"/>
      <c r="T671" s="4"/>
      <c r="U671" t="s">
        <v>430</v>
      </c>
      <c r="Z671" s="1085"/>
      <c r="AA671" s="1085"/>
      <c r="AB671" s="1085"/>
      <c r="AC671" s="1085"/>
      <c r="AD671" s="1085"/>
      <c r="AE671" s="1085"/>
      <c r="AF671" s="1085"/>
      <c r="AG671" s="1085"/>
      <c r="AH671" s="1085"/>
      <c r="AI671" s="1085"/>
      <c r="AJ671" s="1085"/>
      <c r="AK671" s="108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87"/>
      <c r="H672" s="1087"/>
      <c r="I672" s="1087"/>
      <c r="J672" s="1087"/>
      <c r="K672" s="1087"/>
      <c r="L672" s="1087"/>
      <c r="M672" s="1087"/>
      <c r="N672" s="1087"/>
      <c r="O672" s="1087"/>
      <c r="P672" s="1087"/>
      <c r="Q672" s="1087"/>
      <c r="R672" s="1087"/>
      <c r="T672" s="4"/>
      <c r="U672" t="s">
        <v>833</v>
      </c>
      <c r="Z672" s="1085"/>
      <c r="AA672" s="1085"/>
      <c r="AB672" s="1085"/>
      <c r="AC672" s="1085"/>
      <c r="AD672" s="1085"/>
      <c r="AE672" s="1085"/>
      <c r="AF672" s="1085"/>
      <c r="AG672" s="1085"/>
      <c r="AH672" s="1085"/>
      <c r="AI672" s="1085"/>
      <c r="AJ672" s="1085"/>
      <c r="AK672" s="108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284"/>
      <c r="H673" s="1284"/>
      <c r="I673" s="1284"/>
      <c r="J673" s="1284"/>
      <c r="K673" s="1284"/>
      <c r="L673" s="1284"/>
      <c r="O673" s="42" t="s">
        <v>818</v>
      </c>
      <c r="P673" s="1086"/>
      <c r="Q673" s="1086"/>
      <c r="R673" s="1086"/>
      <c r="T673" s="4"/>
      <c r="U673" t="s">
        <v>650</v>
      </c>
      <c r="Z673" s="1284"/>
      <c r="AA673" s="1284"/>
      <c r="AB673" s="1284"/>
      <c r="AC673" s="1284"/>
      <c r="AD673" s="1284"/>
      <c r="AE673" s="1284"/>
      <c r="AH673" s="42" t="s">
        <v>818</v>
      </c>
      <c r="AI673" s="1086"/>
      <c r="AJ673" s="1086"/>
      <c r="AK673" s="108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87"/>
      <c r="I674" s="1087"/>
      <c r="J674" s="1087"/>
      <c r="K674" s="1087"/>
      <c r="L674" s="1087"/>
      <c r="M674" s="1087"/>
      <c r="N674" s="1087"/>
      <c r="O674" s="1087"/>
      <c r="P674" s="1087"/>
      <c r="Q674" s="1087"/>
      <c r="R674" s="1087"/>
      <c r="T674" s="4"/>
      <c r="U674" t="s">
        <v>834</v>
      </c>
      <c r="AA674" s="1087"/>
      <c r="AB674" s="1087"/>
      <c r="AC674" s="1087"/>
      <c r="AD674" s="1087"/>
      <c r="AE674" s="1087"/>
      <c r="AF674" s="1087"/>
      <c r="AG674" s="1087"/>
      <c r="AH674" s="1087"/>
      <c r="AI674" s="1087"/>
      <c r="AJ674" s="1087"/>
      <c r="AK674" s="108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084" t="s">
        <v>482</v>
      </c>
      <c r="O675" s="1084"/>
      <c r="T675" s="4"/>
      <c r="U675" t="s">
        <v>836</v>
      </c>
      <c r="AG675" s="1084" t="s">
        <v>482</v>
      </c>
      <c r="AH675" s="108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088">
        <f>C637</f>
        <v>0</v>
      </c>
      <c r="H677" s="1088"/>
      <c r="I677" s="1088"/>
      <c r="J677" s="1088"/>
      <c r="K677" s="1088"/>
      <c r="L677" s="1088"/>
      <c r="M677" s="1088"/>
      <c r="N677" s="1088"/>
      <c r="O677" s="1088"/>
      <c r="P677" s="1088"/>
      <c r="Q677" s="1088"/>
      <c r="R677" s="1088"/>
      <c r="T677" s="61" t="s">
        <v>174</v>
      </c>
      <c r="U677" t="s">
        <v>82</v>
      </c>
      <c r="Z677" s="1088">
        <f>C638</f>
        <v>0</v>
      </c>
      <c r="AA677" s="1088"/>
      <c r="AB677" s="1088"/>
      <c r="AC677" s="1088"/>
      <c r="AD677" s="1088"/>
      <c r="AE677" s="1088"/>
      <c r="AF677" s="1088"/>
      <c r="AG677" s="1088"/>
      <c r="AH677" s="1088"/>
      <c r="AI677" s="1088"/>
      <c r="AJ677" s="1088"/>
      <c r="AK677" s="108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87"/>
      <c r="H678" s="1087"/>
      <c r="I678" s="1087"/>
      <c r="J678" s="1087"/>
      <c r="K678" s="1087"/>
      <c r="L678" s="1087"/>
      <c r="M678" s="1087"/>
      <c r="N678" s="1087"/>
      <c r="O678" s="1087"/>
      <c r="P678" s="1087"/>
      <c r="Q678" s="1087"/>
      <c r="R678" s="1087"/>
      <c r="T678" s="4"/>
      <c r="U678" t="s">
        <v>372</v>
      </c>
      <c r="Z678" s="1087"/>
      <c r="AA678" s="1087"/>
      <c r="AB678" s="1087"/>
      <c r="AC678" s="1087"/>
      <c r="AD678" s="1087"/>
      <c r="AE678" s="1087"/>
      <c r="AF678" s="1087"/>
      <c r="AG678" s="1087"/>
      <c r="AH678" s="1087"/>
      <c r="AI678" s="1087"/>
      <c r="AJ678" s="1087"/>
      <c r="AK678" s="108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87"/>
      <c r="H679" s="1087"/>
      <c r="I679" s="1087"/>
      <c r="J679" s="1087"/>
      <c r="K679" s="1087"/>
      <c r="L679" s="1087"/>
      <c r="M679" s="1087"/>
      <c r="N679" s="1087"/>
      <c r="O679" s="1087"/>
      <c r="P679" s="1087"/>
      <c r="Q679" s="1087"/>
      <c r="R679" s="1087"/>
      <c r="T679" s="4"/>
      <c r="U679" t="s">
        <v>430</v>
      </c>
      <c r="Z679" s="1085"/>
      <c r="AA679" s="1085"/>
      <c r="AB679" s="1085"/>
      <c r="AC679" s="1085"/>
      <c r="AD679" s="1085"/>
      <c r="AE679" s="1085"/>
      <c r="AF679" s="1085"/>
      <c r="AG679" s="1085"/>
      <c r="AH679" s="1085"/>
      <c r="AI679" s="1085"/>
      <c r="AJ679" s="1085"/>
      <c r="AK679" s="108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87"/>
      <c r="H680" s="1087"/>
      <c r="I680" s="1087"/>
      <c r="J680" s="1087"/>
      <c r="K680" s="1087"/>
      <c r="L680" s="1087"/>
      <c r="M680" s="1087"/>
      <c r="N680" s="1087"/>
      <c r="O680" s="1087"/>
      <c r="P680" s="1087"/>
      <c r="Q680" s="1087"/>
      <c r="R680" s="1087"/>
      <c r="T680" s="4"/>
      <c r="U680" t="s">
        <v>833</v>
      </c>
      <c r="Z680" s="1085"/>
      <c r="AA680" s="1085"/>
      <c r="AB680" s="1085"/>
      <c r="AC680" s="1085"/>
      <c r="AD680" s="1085"/>
      <c r="AE680" s="1085"/>
      <c r="AF680" s="1085"/>
      <c r="AG680" s="1085"/>
      <c r="AH680" s="1085"/>
      <c r="AI680" s="1085"/>
      <c r="AJ680" s="1085"/>
      <c r="AK680" s="108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284"/>
      <c r="H681" s="1284"/>
      <c r="I681" s="1284"/>
      <c r="J681" s="1284"/>
      <c r="K681" s="1284"/>
      <c r="L681" s="1284"/>
      <c r="O681" s="42" t="s">
        <v>818</v>
      </c>
      <c r="P681" s="1086"/>
      <c r="Q681" s="1086"/>
      <c r="R681" s="1086"/>
      <c r="T681" s="4"/>
      <c r="U681" t="s">
        <v>650</v>
      </c>
      <c r="Z681" s="1284"/>
      <c r="AA681" s="1284"/>
      <c r="AB681" s="1284"/>
      <c r="AC681" s="1284"/>
      <c r="AD681" s="1284"/>
      <c r="AE681" s="1284"/>
      <c r="AH681" s="42" t="s">
        <v>818</v>
      </c>
      <c r="AI681" s="1086"/>
      <c r="AJ681" s="1086"/>
      <c r="AK681" s="108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87"/>
      <c r="I682" s="1087"/>
      <c r="J682" s="1087"/>
      <c r="K682" s="1087"/>
      <c r="L682" s="1087"/>
      <c r="M682" s="1087"/>
      <c r="N682" s="1087"/>
      <c r="O682" s="1087"/>
      <c r="P682" s="1087"/>
      <c r="Q682" s="1087"/>
      <c r="R682" s="1087"/>
      <c r="T682" s="4"/>
      <c r="U682" t="s">
        <v>834</v>
      </c>
      <c r="AA682" s="1087"/>
      <c r="AB682" s="1087"/>
      <c r="AC682" s="1087"/>
      <c r="AD682" s="1087"/>
      <c r="AE682" s="1087"/>
      <c r="AF682" s="1087"/>
      <c r="AG682" s="1087"/>
      <c r="AH682" s="1087"/>
      <c r="AI682" s="1087"/>
      <c r="AJ682" s="1087"/>
      <c r="AK682" s="108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084" t="s">
        <v>482</v>
      </c>
      <c r="O683" s="1084"/>
      <c r="T683" s="4"/>
      <c r="U683" t="s">
        <v>836</v>
      </c>
      <c r="AG683" s="1084" t="s">
        <v>482</v>
      </c>
      <c r="AH683" s="108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088">
        <f>C639</f>
        <v>0</v>
      </c>
      <c r="H685" s="1088"/>
      <c r="I685" s="1088"/>
      <c r="J685" s="1088"/>
      <c r="K685" s="1088"/>
      <c r="L685" s="1088"/>
      <c r="M685" s="1088"/>
      <c r="N685" s="1088"/>
      <c r="O685" s="1088"/>
      <c r="P685" s="1088"/>
      <c r="Q685" s="1088"/>
      <c r="R685" s="1088"/>
      <c r="T685" s="61" t="s">
        <v>33</v>
      </c>
      <c r="U685" t="s">
        <v>82</v>
      </c>
      <c r="Z685" s="1088">
        <f>C640</f>
        <v>0</v>
      </c>
      <c r="AA685" s="1088"/>
      <c r="AB685" s="1088"/>
      <c r="AC685" s="1088"/>
      <c r="AD685" s="1088"/>
      <c r="AE685" s="1088"/>
      <c r="AF685" s="1088"/>
      <c r="AG685" s="1088"/>
      <c r="AH685" s="1088"/>
      <c r="AI685" s="1088"/>
      <c r="AJ685" s="1088"/>
      <c r="AK685" s="108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87"/>
      <c r="H686" s="1087"/>
      <c r="I686" s="1087"/>
      <c r="J686" s="1087"/>
      <c r="K686" s="1087"/>
      <c r="L686" s="1087"/>
      <c r="M686" s="1087"/>
      <c r="N686" s="1087"/>
      <c r="O686" s="1087"/>
      <c r="P686" s="1087"/>
      <c r="Q686" s="1087"/>
      <c r="R686" s="1087"/>
      <c r="T686" s="4"/>
      <c r="U686" t="s">
        <v>372</v>
      </c>
      <c r="Z686" s="1087"/>
      <c r="AA686" s="1087"/>
      <c r="AB686" s="1087"/>
      <c r="AC686" s="1087"/>
      <c r="AD686" s="1087"/>
      <c r="AE686" s="1087"/>
      <c r="AF686" s="1087"/>
      <c r="AG686" s="1087"/>
      <c r="AH686" s="1087"/>
      <c r="AI686" s="1087"/>
      <c r="AJ686" s="1087"/>
      <c r="AK686" s="108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87"/>
      <c r="H687" s="1087"/>
      <c r="I687" s="1087"/>
      <c r="J687" s="1087"/>
      <c r="K687" s="1087"/>
      <c r="L687" s="1087"/>
      <c r="M687" s="1087"/>
      <c r="N687" s="1087"/>
      <c r="O687" s="1087"/>
      <c r="P687" s="1087"/>
      <c r="Q687" s="1087"/>
      <c r="R687" s="1087"/>
      <c r="U687" t="s">
        <v>430</v>
      </c>
      <c r="Z687" s="1085"/>
      <c r="AA687" s="1085"/>
      <c r="AB687" s="1085"/>
      <c r="AC687" s="1085"/>
      <c r="AD687" s="1085"/>
      <c r="AE687" s="1085"/>
      <c r="AF687" s="1085"/>
      <c r="AG687" s="1085"/>
      <c r="AH687" s="1085"/>
      <c r="AI687" s="1085"/>
      <c r="AJ687" s="1085"/>
      <c r="AK687" s="108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87"/>
      <c r="H688" s="1087"/>
      <c r="I688" s="1087"/>
      <c r="J688" s="1087"/>
      <c r="K688" s="1087"/>
      <c r="L688" s="1087"/>
      <c r="M688" s="1087"/>
      <c r="N688" s="1087"/>
      <c r="O688" s="1087"/>
      <c r="P688" s="1087"/>
      <c r="Q688" s="1087"/>
      <c r="R688" s="1087"/>
      <c r="U688" t="s">
        <v>833</v>
      </c>
      <c r="Z688" s="1085"/>
      <c r="AA688" s="1085"/>
      <c r="AB688" s="1085"/>
      <c r="AC688" s="1085"/>
      <c r="AD688" s="1085"/>
      <c r="AE688" s="1085"/>
      <c r="AF688" s="1085"/>
      <c r="AG688" s="1085"/>
      <c r="AH688" s="1085"/>
      <c r="AI688" s="1085"/>
      <c r="AJ688" s="1085"/>
      <c r="AK688" s="108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284"/>
      <c r="H689" s="1284"/>
      <c r="I689" s="1284"/>
      <c r="J689" s="1284"/>
      <c r="K689" s="1284"/>
      <c r="L689" s="1284"/>
      <c r="O689" s="42" t="s">
        <v>818</v>
      </c>
      <c r="P689" s="1086"/>
      <c r="Q689" s="1086"/>
      <c r="R689" s="1086"/>
      <c r="U689" t="s">
        <v>650</v>
      </c>
      <c r="Z689" s="1284"/>
      <c r="AA689" s="1284"/>
      <c r="AB689" s="1284"/>
      <c r="AC689" s="1284"/>
      <c r="AD689" s="1284"/>
      <c r="AE689" s="1284"/>
      <c r="AH689" s="42" t="s">
        <v>818</v>
      </c>
      <c r="AI689" s="1086"/>
      <c r="AJ689" s="1086"/>
      <c r="AK689" s="108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87"/>
      <c r="I690" s="1087"/>
      <c r="J690" s="1087"/>
      <c r="K690" s="1087"/>
      <c r="L690" s="1087"/>
      <c r="M690" s="1087"/>
      <c r="N690" s="1087"/>
      <c r="O690" s="1087"/>
      <c r="P690" s="1087"/>
      <c r="Q690" s="1087"/>
      <c r="R690" s="1087"/>
      <c r="U690" t="s">
        <v>834</v>
      </c>
      <c r="AA690" s="1087"/>
      <c r="AB690" s="1087"/>
      <c r="AC690" s="1087"/>
      <c r="AD690" s="1087"/>
      <c r="AE690" s="1087"/>
      <c r="AF690" s="1087"/>
      <c r="AG690" s="1087"/>
      <c r="AH690" s="1087"/>
      <c r="AI690" s="1087"/>
      <c r="AJ690" s="1087"/>
      <c r="AK690" s="108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084" t="s">
        <v>482</v>
      </c>
      <c r="O691" s="1084"/>
      <c r="U691" t="s">
        <v>836</v>
      </c>
      <c r="AG691" s="1084" t="s">
        <v>482</v>
      </c>
      <c r="AH691" s="108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23" t="s">
        <v>127</v>
      </c>
      <c r="B694" s="1123"/>
      <c r="C694" s="1123"/>
      <c r="D694" s="1123"/>
      <c r="E694" s="1123"/>
      <c r="F694" s="1123"/>
      <c r="G694" s="1123"/>
      <c r="H694" s="1123"/>
      <c r="I694" s="1123"/>
      <c r="J694" s="1123"/>
      <c r="K694" s="1123"/>
      <c r="L694" s="1123"/>
      <c r="M694" s="1123"/>
      <c r="N694" s="1123"/>
      <c r="O694" s="1123"/>
      <c r="P694" s="1123"/>
      <c r="Q694" s="1123"/>
      <c r="R694" s="1123"/>
      <c r="S694" s="1123"/>
      <c r="T694" s="1123"/>
      <c r="U694" s="1123"/>
      <c r="V694" s="1123"/>
      <c r="W694" s="1123"/>
      <c r="X694" s="1123"/>
      <c r="Y694" s="1123"/>
      <c r="Z694" s="1123"/>
      <c r="AA694" s="1123"/>
      <c r="AB694" s="1123"/>
      <c r="AC694" s="1123"/>
      <c r="AD694" s="1123"/>
      <c r="AE694" s="1123"/>
      <c r="AF694" s="1123"/>
      <c r="AG694" s="1123"/>
      <c r="AH694" s="1123"/>
      <c r="AI694" s="1123"/>
      <c r="AJ694" s="1123"/>
      <c r="AK694" s="1123"/>
      <c r="AL694" s="1123"/>
      <c r="AM694" s="1123"/>
      <c r="AN694" s="1123"/>
      <c r="AO694" s="1123"/>
      <c r="AP694" s="1123"/>
      <c r="AQ694" s="1123"/>
      <c r="AR694" s="1123"/>
      <c r="AS694" s="1123"/>
      <c r="AT694" s="112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23"/>
      <c r="B695" s="1123"/>
      <c r="C695" s="1123"/>
      <c r="D695" s="1123"/>
      <c r="E695" s="1123"/>
      <c r="F695" s="1123"/>
      <c r="G695" s="1123"/>
      <c r="H695" s="1123"/>
      <c r="I695" s="1123"/>
      <c r="J695" s="1123"/>
      <c r="K695" s="1123"/>
      <c r="L695" s="1123"/>
      <c r="M695" s="1123"/>
      <c r="N695" s="1123"/>
      <c r="O695" s="1123"/>
      <c r="P695" s="1123"/>
      <c r="Q695" s="1123"/>
      <c r="R695" s="1123"/>
      <c r="S695" s="1123"/>
      <c r="T695" s="1123"/>
      <c r="U695" s="1123"/>
      <c r="V695" s="1123"/>
      <c r="W695" s="1123"/>
      <c r="X695" s="1123"/>
      <c r="Y695" s="1123"/>
      <c r="Z695" s="1123"/>
      <c r="AA695" s="1123"/>
      <c r="AB695" s="1123"/>
      <c r="AC695" s="1123"/>
      <c r="AD695" s="1123"/>
      <c r="AE695" s="1123"/>
      <c r="AF695" s="1123"/>
      <c r="AG695" s="1123"/>
      <c r="AH695" s="1123"/>
      <c r="AI695" s="1123"/>
      <c r="AJ695" s="1123"/>
      <c r="AK695" s="1123"/>
      <c r="AL695" s="1123"/>
      <c r="AM695" s="1123"/>
      <c r="AN695" s="1123"/>
      <c r="AO695" s="1123"/>
      <c r="AP695" s="1123"/>
      <c r="AQ695" s="1123"/>
      <c r="AR695" s="1123"/>
      <c r="AS695" s="1123"/>
      <c r="AT695" s="1123"/>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23"/>
      <c r="B696" s="1123"/>
      <c r="C696" s="1123"/>
      <c r="D696" s="1123"/>
      <c r="E696" s="1123"/>
      <c r="F696" s="1123"/>
      <c r="G696" s="1123"/>
      <c r="H696" s="1123"/>
      <c r="I696" s="1123"/>
      <c r="J696" s="1123"/>
      <c r="K696" s="1123"/>
      <c r="L696" s="1123"/>
      <c r="M696" s="1123"/>
      <c r="N696" s="1123"/>
      <c r="O696" s="1123"/>
      <c r="P696" s="1123"/>
      <c r="Q696" s="1123"/>
      <c r="R696" s="1123"/>
      <c r="S696" s="1123"/>
      <c r="T696" s="1123"/>
      <c r="U696" s="1123"/>
      <c r="V696" s="1123"/>
      <c r="W696" s="1123"/>
      <c r="X696" s="1123"/>
      <c r="Y696" s="1123"/>
      <c r="Z696" s="1123"/>
      <c r="AA696" s="1123"/>
      <c r="AB696" s="1123"/>
      <c r="AC696" s="1123"/>
      <c r="AD696" s="1123"/>
      <c r="AE696" s="1123"/>
      <c r="AF696" s="1123"/>
      <c r="AG696" s="1123"/>
      <c r="AH696" s="1123"/>
      <c r="AI696" s="1123"/>
      <c r="AJ696" s="1123"/>
      <c r="AK696" s="1123"/>
      <c r="AL696" s="1123"/>
      <c r="AM696" s="1123"/>
      <c r="AN696" s="1123"/>
      <c r="AO696" s="1123"/>
      <c r="AP696" s="1123"/>
      <c r="AQ696" s="1123"/>
      <c r="AR696" s="1123"/>
      <c r="AS696" s="1123"/>
      <c r="AT696" s="1123"/>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68" t="s">
        <v>54</v>
      </c>
      <c r="C699" s="1269"/>
      <c r="D699" s="1269"/>
      <c r="E699" s="1269"/>
      <c r="F699" s="1270"/>
      <c r="G699" s="1268" t="s">
        <v>256</v>
      </c>
      <c r="H699" s="1269"/>
      <c r="I699" s="1269"/>
      <c r="J699" s="1270"/>
      <c r="K699" s="1259" t="s">
        <v>1981</v>
      </c>
      <c r="L699" s="1260"/>
      <c r="M699" s="1260"/>
      <c r="N699" s="1261"/>
      <c r="O699" s="1268" t="s">
        <v>589</v>
      </c>
      <c r="P699" s="1269"/>
      <c r="Q699" s="1269"/>
      <c r="R699" s="1269"/>
      <c r="S699" s="1270"/>
      <c r="T699" s="1268" t="s">
        <v>257</v>
      </c>
      <c r="U699" s="1269"/>
      <c r="V699" s="1269"/>
      <c r="W699" s="1269"/>
      <c r="X699" s="1270"/>
      <c r="Y699" s="1268" t="s">
        <v>258</v>
      </c>
      <c r="Z699" s="1269"/>
      <c r="AA699" s="1269"/>
      <c r="AB699" s="1270"/>
      <c r="AC699" s="1268" t="s">
        <v>259</v>
      </c>
      <c r="AD699" s="1269"/>
      <c r="AE699" s="1269"/>
      <c r="AF699" s="1269"/>
      <c r="AG699" s="1270"/>
      <c r="AH699" s="1268" t="s">
        <v>1982</v>
      </c>
      <c r="AI699" s="1269"/>
      <c r="AJ699" s="1269"/>
      <c r="AK699" s="1269"/>
      <c r="AL699" s="1270"/>
      <c r="AM699" s="1268" t="s">
        <v>1983</v>
      </c>
      <c r="AN699" s="1269"/>
      <c r="AO699" s="1270"/>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71"/>
      <c r="C700" s="1272"/>
      <c r="D700" s="1272"/>
      <c r="E700" s="1272"/>
      <c r="F700" s="1273"/>
      <c r="G700" s="1271"/>
      <c r="H700" s="1272"/>
      <c r="I700" s="1272"/>
      <c r="J700" s="1273"/>
      <c r="K700" s="1262"/>
      <c r="L700" s="1263"/>
      <c r="M700" s="1263"/>
      <c r="N700" s="1264"/>
      <c r="O700" s="1271"/>
      <c r="P700" s="1272"/>
      <c r="Q700" s="1272"/>
      <c r="R700" s="1272"/>
      <c r="S700" s="1273"/>
      <c r="T700" s="1271"/>
      <c r="U700" s="1272"/>
      <c r="V700" s="1272"/>
      <c r="W700" s="1272"/>
      <c r="X700" s="1273"/>
      <c r="Y700" s="1271"/>
      <c r="Z700" s="1272"/>
      <c r="AA700" s="1272"/>
      <c r="AB700" s="1273"/>
      <c r="AC700" s="1271"/>
      <c r="AD700" s="1272"/>
      <c r="AE700" s="1272"/>
      <c r="AF700" s="1272"/>
      <c r="AG700" s="1273"/>
      <c r="AH700" s="1271"/>
      <c r="AI700" s="1272"/>
      <c r="AJ700" s="1272"/>
      <c r="AK700" s="1272"/>
      <c r="AL700" s="1273"/>
      <c r="AM700" s="1271"/>
      <c r="AN700" s="1272"/>
      <c r="AO700" s="1273"/>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71"/>
      <c r="C701" s="1272"/>
      <c r="D701" s="1272"/>
      <c r="E701" s="1272"/>
      <c r="F701" s="1273"/>
      <c r="G701" s="1271"/>
      <c r="H701" s="1272"/>
      <c r="I701" s="1272"/>
      <c r="J701" s="1273"/>
      <c r="K701" s="1262"/>
      <c r="L701" s="1263"/>
      <c r="M701" s="1263"/>
      <c r="N701" s="1264"/>
      <c r="O701" s="1271"/>
      <c r="P701" s="1272"/>
      <c r="Q701" s="1272"/>
      <c r="R701" s="1272"/>
      <c r="S701" s="1273"/>
      <c r="T701" s="1271"/>
      <c r="U701" s="1272"/>
      <c r="V701" s="1272"/>
      <c r="W701" s="1272"/>
      <c r="X701" s="1273"/>
      <c r="Y701" s="1271"/>
      <c r="Z701" s="1272"/>
      <c r="AA701" s="1272"/>
      <c r="AB701" s="1273"/>
      <c r="AC701" s="1271"/>
      <c r="AD701" s="1272"/>
      <c r="AE701" s="1272"/>
      <c r="AF701" s="1272"/>
      <c r="AG701" s="1273"/>
      <c r="AH701" s="1271"/>
      <c r="AI701" s="1272"/>
      <c r="AJ701" s="1272"/>
      <c r="AK701" s="1272"/>
      <c r="AL701" s="1273"/>
      <c r="AM701" s="1271"/>
      <c r="AN701" s="1272"/>
      <c r="AO701" s="1273"/>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74"/>
      <c r="C702" s="1275"/>
      <c r="D702" s="1275"/>
      <c r="E702" s="1275"/>
      <c r="F702" s="1276"/>
      <c r="G702" s="1274"/>
      <c r="H702" s="1275"/>
      <c r="I702" s="1275"/>
      <c r="J702" s="1276"/>
      <c r="K702" s="1262"/>
      <c r="L702" s="1263"/>
      <c r="M702" s="1263"/>
      <c r="N702" s="1264"/>
      <c r="O702" s="1274"/>
      <c r="P702" s="1275"/>
      <c r="Q702" s="1275"/>
      <c r="R702" s="1275"/>
      <c r="S702" s="1276"/>
      <c r="T702" s="1274"/>
      <c r="U702" s="1275"/>
      <c r="V702" s="1275"/>
      <c r="W702" s="1275"/>
      <c r="X702" s="1276"/>
      <c r="Y702" s="1274"/>
      <c r="Z702" s="1275"/>
      <c r="AA702" s="1275"/>
      <c r="AB702" s="1276"/>
      <c r="AC702" s="1274"/>
      <c r="AD702" s="1275"/>
      <c r="AE702" s="1275"/>
      <c r="AF702" s="1275"/>
      <c r="AG702" s="1276"/>
      <c r="AH702" s="1274"/>
      <c r="AI702" s="1275"/>
      <c r="AJ702" s="1275"/>
      <c r="AK702" s="1275"/>
      <c r="AL702" s="1276"/>
      <c r="AM702" s="1274"/>
      <c r="AN702" s="1275"/>
      <c r="AO702" s="1276"/>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61" t="s">
        <v>441</v>
      </c>
      <c r="C703" s="1062"/>
      <c r="D703" s="1062"/>
      <c r="E703" s="1062"/>
      <c r="F703" s="1063"/>
      <c r="G703" s="1064">
        <v>10</v>
      </c>
      <c r="H703" s="1065"/>
      <c r="I703" s="1065"/>
      <c r="J703" s="1066"/>
      <c r="K703" s="1070">
        <v>473</v>
      </c>
      <c r="L703" s="1071"/>
      <c r="M703" s="1071"/>
      <c r="N703" s="1072"/>
      <c r="O703" s="1067">
        <f>394-12</f>
        <v>382</v>
      </c>
      <c r="P703" s="1068"/>
      <c r="Q703" s="1068"/>
      <c r="R703" s="1068"/>
      <c r="S703" s="1069"/>
      <c r="T703" s="1081">
        <f t="shared" ref="T703:T737" si="34">G703*O703</f>
        <v>3820</v>
      </c>
      <c r="U703" s="1082"/>
      <c r="V703" s="1082"/>
      <c r="W703" s="1082"/>
      <c r="X703" s="1083"/>
      <c r="Y703" s="1067">
        <v>12</v>
      </c>
      <c r="Z703" s="1068"/>
      <c r="AA703" s="1068"/>
      <c r="AB703" s="1069"/>
      <c r="AC703" s="1081">
        <f t="shared" ref="AC703:AC737" si="35">O703+Y703</f>
        <v>394</v>
      </c>
      <c r="AD703" s="1082"/>
      <c r="AE703" s="1082"/>
      <c r="AF703" s="1082"/>
      <c r="AG703" s="1083"/>
      <c r="AH703" s="1078">
        <v>0.3</v>
      </c>
      <c r="AI703" s="1079"/>
      <c r="AJ703" s="1079"/>
      <c r="AK703" s="1079"/>
      <c r="AL703" s="1080"/>
      <c r="AM703" s="1253">
        <f>IF($AH703&gt;0,($AC703/$AV703),"")</f>
        <v>0.20478170478170479</v>
      </c>
      <c r="AN703" s="1254"/>
      <c r="AO703" s="1255"/>
      <c r="AV703" s="43">
        <f t="shared" ref="AV703:AV737" si="36">IF($G703=0,"N/A",VLOOKUP($T$189,TC_Rent,(MATCH($B703,bedrooms,FALSE))))</f>
        <v>1924</v>
      </c>
      <c r="AX703" s="43"/>
      <c r="AY703" s="442">
        <f t="shared" ref="AY703:AY726" si="37">G703</f>
        <v>10</v>
      </c>
      <c r="AZ703" s="449">
        <f t="shared" ref="AZ703:AZ726" si="38">IF($AY$738=0,"",AY703/$AY$738)</f>
        <v>0.22222222222222221</v>
      </c>
      <c r="BA703" s="450">
        <f t="shared" ref="BA703:BA726" si="39">IF(AZ703="","",AZ703*AH703)</f>
        <v>6.6666666666666666E-2</v>
      </c>
      <c r="BB703" s="41"/>
      <c r="BC703" s="41"/>
      <c r="BD703" s="41"/>
      <c r="BE703" s="848">
        <f t="shared" ref="BE703:BE726" si="40">G703</f>
        <v>10</v>
      </c>
      <c r="BF703" s="852">
        <f t="shared" ref="BF703:BF726" si="41">IF(BE703=0,"",BE703/$BE$738)</f>
        <v>0.22222222222222221</v>
      </c>
      <c r="BG703" s="853">
        <f t="shared" ref="BG703:BG726" si="42">IF(BF703="","",BF703*AM703)</f>
        <v>4.5507045507045506E-2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61" t="s">
        <v>441</v>
      </c>
      <c r="C704" s="1062"/>
      <c r="D704" s="1062"/>
      <c r="E704" s="1062"/>
      <c r="F704" s="1063"/>
      <c r="G704" s="1064">
        <v>4</v>
      </c>
      <c r="H704" s="1065"/>
      <c r="I704" s="1065"/>
      <c r="J704" s="1066"/>
      <c r="K704" s="1070">
        <v>473</v>
      </c>
      <c r="L704" s="1071"/>
      <c r="M704" s="1071"/>
      <c r="N704" s="1072"/>
      <c r="O704" s="1067">
        <v>382</v>
      </c>
      <c r="P704" s="1068"/>
      <c r="Q704" s="1068"/>
      <c r="R704" s="1068"/>
      <c r="S704" s="1069"/>
      <c r="T704" s="1081">
        <f t="shared" si="34"/>
        <v>1528</v>
      </c>
      <c r="U704" s="1082"/>
      <c r="V704" s="1082"/>
      <c r="W704" s="1082"/>
      <c r="X704" s="1083"/>
      <c r="Y704" s="1067">
        <v>12</v>
      </c>
      <c r="Z704" s="1068"/>
      <c r="AA704" s="1068"/>
      <c r="AB704" s="1069"/>
      <c r="AC704" s="1081">
        <f t="shared" si="35"/>
        <v>394</v>
      </c>
      <c r="AD704" s="1082"/>
      <c r="AE704" s="1082"/>
      <c r="AF704" s="1082"/>
      <c r="AG704" s="1083"/>
      <c r="AH704" s="1075">
        <v>0.3</v>
      </c>
      <c r="AI704" s="1076"/>
      <c r="AJ704" s="1076"/>
      <c r="AK704" s="1076"/>
      <c r="AL704" s="1077"/>
      <c r="AM704" s="1253">
        <f t="shared" ref="AM704:AM726" si="43">IF($AH704&gt;0,($AC704/$AV704), "")</f>
        <v>0.20478170478170479</v>
      </c>
      <c r="AN704" s="1254"/>
      <c r="AO704" s="1255"/>
      <c r="AV704" s="43">
        <f t="shared" si="36"/>
        <v>1924</v>
      </c>
      <c r="AX704" s="43"/>
      <c r="AY704" s="443">
        <f t="shared" si="37"/>
        <v>4</v>
      </c>
      <c r="AZ704" s="449">
        <f t="shared" si="38"/>
        <v>8.8888888888888892E-2</v>
      </c>
      <c r="BA704" s="450">
        <f t="shared" si="39"/>
        <v>2.6666666666666668E-2</v>
      </c>
      <c r="BB704" s="41"/>
      <c r="BC704" s="41"/>
      <c r="BD704" s="41"/>
      <c r="BE704" s="848">
        <f t="shared" si="40"/>
        <v>4</v>
      </c>
      <c r="BF704" s="852">
        <f t="shared" si="41"/>
        <v>8.8888888888888892E-2</v>
      </c>
      <c r="BG704" s="853">
        <f t="shared" si="42"/>
        <v>1.8202818202818206E-2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61" t="s">
        <v>441</v>
      </c>
      <c r="C705" s="1062"/>
      <c r="D705" s="1062"/>
      <c r="E705" s="1062"/>
      <c r="F705" s="1063"/>
      <c r="G705" s="1064">
        <v>4</v>
      </c>
      <c r="H705" s="1065"/>
      <c r="I705" s="1065"/>
      <c r="J705" s="1066"/>
      <c r="K705" s="1070">
        <v>473</v>
      </c>
      <c r="L705" s="1071"/>
      <c r="M705" s="1071"/>
      <c r="N705" s="1072"/>
      <c r="O705" s="1067">
        <v>538</v>
      </c>
      <c r="P705" s="1068"/>
      <c r="Q705" s="1068"/>
      <c r="R705" s="1068"/>
      <c r="S705" s="1069"/>
      <c r="T705" s="1081">
        <f t="shared" si="34"/>
        <v>2152</v>
      </c>
      <c r="U705" s="1082"/>
      <c r="V705" s="1082"/>
      <c r="W705" s="1082"/>
      <c r="X705" s="1083"/>
      <c r="Y705" s="1067">
        <v>12</v>
      </c>
      <c r="Z705" s="1068"/>
      <c r="AA705" s="1068"/>
      <c r="AB705" s="1069"/>
      <c r="AC705" s="1081">
        <f t="shared" si="35"/>
        <v>550</v>
      </c>
      <c r="AD705" s="1082"/>
      <c r="AE705" s="1082"/>
      <c r="AF705" s="1082"/>
      <c r="AG705" s="1083"/>
      <c r="AH705" s="1075">
        <v>0.5</v>
      </c>
      <c r="AI705" s="1076"/>
      <c r="AJ705" s="1076"/>
      <c r="AK705" s="1076"/>
      <c r="AL705" s="1077"/>
      <c r="AM705" s="1253">
        <f t="shared" si="43"/>
        <v>0.28586278586278585</v>
      </c>
      <c r="AN705" s="1254"/>
      <c r="AO705" s="1255"/>
      <c r="AV705" s="43">
        <f t="shared" si="36"/>
        <v>1924</v>
      </c>
      <c r="AX705" s="41"/>
      <c r="AY705" s="443">
        <f t="shared" si="37"/>
        <v>4</v>
      </c>
      <c r="AZ705" s="449">
        <f t="shared" si="38"/>
        <v>8.8888888888888892E-2</v>
      </c>
      <c r="BA705" s="450">
        <f t="shared" si="39"/>
        <v>4.4444444444444446E-2</v>
      </c>
      <c r="BB705" s="41"/>
      <c r="BC705" s="41"/>
      <c r="BD705" s="41"/>
      <c r="BE705" s="848">
        <f t="shared" si="40"/>
        <v>4</v>
      </c>
      <c r="BF705" s="852">
        <f t="shared" si="41"/>
        <v>8.8888888888888892E-2</v>
      </c>
      <c r="BG705" s="853">
        <f t="shared" si="42"/>
        <v>2.5410025410025409E-2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61" t="s">
        <v>442</v>
      </c>
      <c r="C706" s="1062"/>
      <c r="D706" s="1062"/>
      <c r="E706" s="1062"/>
      <c r="F706" s="1063"/>
      <c r="G706" s="1064">
        <v>11</v>
      </c>
      <c r="H706" s="1065"/>
      <c r="I706" s="1065"/>
      <c r="J706" s="1066"/>
      <c r="K706" s="1070">
        <v>662</v>
      </c>
      <c r="L706" s="1071"/>
      <c r="M706" s="1071"/>
      <c r="N706" s="1072"/>
      <c r="O706" s="1067">
        <v>382</v>
      </c>
      <c r="P706" s="1068"/>
      <c r="Q706" s="1068"/>
      <c r="R706" s="1068"/>
      <c r="S706" s="1069"/>
      <c r="T706" s="1081">
        <f t="shared" si="34"/>
        <v>4202</v>
      </c>
      <c r="U706" s="1082"/>
      <c r="V706" s="1082"/>
      <c r="W706" s="1082"/>
      <c r="X706" s="1083"/>
      <c r="Y706" s="1067">
        <v>12</v>
      </c>
      <c r="Z706" s="1068"/>
      <c r="AA706" s="1068"/>
      <c r="AB706" s="1069"/>
      <c r="AC706" s="1081">
        <f t="shared" si="35"/>
        <v>394</v>
      </c>
      <c r="AD706" s="1082"/>
      <c r="AE706" s="1082"/>
      <c r="AF706" s="1082"/>
      <c r="AG706" s="1083"/>
      <c r="AH706" s="1075">
        <v>0.3</v>
      </c>
      <c r="AI706" s="1076"/>
      <c r="AJ706" s="1076"/>
      <c r="AK706" s="1076"/>
      <c r="AL706" s="1077"/>
      <c r="AM706" s="1253">
        <f t="shared" si="43"/>
        <v>0.19107662463627545</v>
      </c>
      <c r="AN706" s="1254"/>
      <c r="AO706" s="1255"/>
      <c r="AV706" s="43">
        <f t="shared" si="36"/>
        <v>2062</v>
      </c>
      <c r="AX706" s="41"/>
      <c r="AY706" s="443">
        <f t="shared" si="37"/>
        <v>11</v>
      </c>
      <c r="AZ706" s="449">
        <f t="shared" si="38"/>
        <v>0.24444444444444444</v>
      </c>
      <c r="BA706" s="450">
        <f t="shared" si="39"/>
        <v>7.3333333333333334E-2</v>
      </c>
      <c r="BB706" s="41"/>
      <c r="BC706" s="41"/>
      <c r="BD706" s="41"/>
      <c r="BE706" s="848">
        <f t="shared" si="40"/>
        <v>11</v>
      </c>
      <c r="BF706" s="852">
        <f t="shared" si="41"/>
        <v>0.24444444444444444</v>
      </c>
      <c r="BG706" s="853">
        <f t="shared" si="42"/>
        <v>4.6707619355533997E-2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61" t="s">
        <v>442</v>
      </c>
      <c r="C707" s="1062"/>
      <c r="D707" s="1062"/>
      <c r="E707" s="1062"/>
      <c r="F707" s="1063"/>
      <c r="G707" s="1064">
        <v>9</v>
      </c>
      <c r="H707" s="1065"/>
      <c r="I707" s="1065"/>
      <c r="J707" s="1066"/>
      <c r="K707" s="1070">
        <v>662</v>
      </c>
      <c r="L707" s="1071"/>
      <c r="M707" s="1071"/>
      <c r="N707" s="1072"/>
      <c r="O707" s="1067">
        <v>382</v>
      </c>
      <c r="P707" s="1068"/>
      <c r="Q707" s="1068"/>
      <c r="R707" s="1068"/>
      <c r="S707" s="1069"/>
      <c r="T707" s="1081">
        <f t="shared" si="34"/>
        <v>3438</v>
      </c>
      <c r="U707" s="1082"/>
      <c r="V707" s="1082"/>
      <c r="W707" s="1082"/>
      <c r="X707" s="1083"/>
      <c r="Y707" s="1067">
        <v>12</v>
      </c>
      <c r="Z707" s="1068"/>
      <c r="AA707" s="1068"/>
      <c r="AB707" s="1069"/>
      <c r="AC707" s="1081">
        <f t="shared" si="35"/>
        <v>394</v>
      </c>
      <c r="AD707" s="1082"/>
      <c r="AE707" s="1082"/>
      <c r="AF707" s="1082"/>
      <c r="AG707" s="1083"/>
      <c r="AH707" s="1075">
        <v>0.3</v>
      </c>
      <c r="AI707" s="1076"/>
      <c r="AJ707" s="1076"/>
      <c r="AK707" s="1076"/>
      <c r="AL707" s="1077"/>
      <c r="AM707" s="1253">
        <f t="shared" si="43"/>
        <v>0.19107662463627545</v>
      </c>
      <c r="AN707" s="1254"/>
      <c r="AO707" s="1255"/>
      <c r="AV707" s="43">
        <f t="shared" si="36"/>
        <v>2062</v>
      </c>
      <c r="AX707" s="41"/>
      <c r="AY707" s="443">
        <f t="shared" si="37"/>
        <v>9</v>
      </c>
      <c r="AZ707" s="449">
        <f t="shared" si="38"/>
        <v>0.2</v>
      </c>
      <c r="BA707" s="450">
        <f t="shared" si="39"/>
        <v>0.06</v>
      </c>
      <c r="BB707" s="41"/>
      <c r="BC707" s="41"/>
      <c r="BD707" s="41"/>
      <c r="BE707" s="848">
        <f t="shared" si="40"/>
        <v>9</v>
      </c>
      <c r="BF707" s="852">
        <f t="shared" si="41"/>
        <v>0.2</v>
      </c>
      <c r="BG707" s="853">
        <f t="shared" si="42"/>
        <v>3.8215324927255094E-2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61" t="s">
        <v>442</v>
      </c>
      <c r="C708" s="1062"/>
      <c r="D708" s="1062"/>
      <c r="E708" s="1062"/>
      <c r="F708" s="1063"/>
      <c r="G708" s="1064">
        <v>5</v>
      </c>
      <c r="H708" s="1065"/>
      <c r="I708" s="1065"/>
      <c r="J708" s="1066"/>
      <c r="K708" s="1070">
        <v>662</v>
      </c>
      <c r="L708" s="1071"/>
      <c r="M708" s="1071"/>
      <c r="N708" s="1072"/>
      <c r="O708" s="1067">
        <v>538</v>
      </c>
      <c r="P708" s="1068"/>
      <c r="Q708" s="1068"/>
      <c r="R708" s="1068"/>
      <c r="S708" s="1069"/>
      <c r="T708" s="1081">
        <f t="shared" si="34"/>
        <v>2690</v>
      </c>
      <c r="U708" s="1082"/>
      <c r="V708" s="1082"/>
      <c r="W708" s="1082"/>
      <c r="X708" s="1083"/>
      <c r="Y708" s="1067">
        <v>12</v>
      </c>
      <c r="Z708" s="1068"/>
      <c r="AA708" s="1068"/>
      <c r="AB708" s="1069"/>
      <c r="AC708" s="1081">
        <f t="shared" si="35"/>
        <v>550</v>
      </c>
      <c r="AD708" s="1082"/>
      <c r="AE708" s="1082"/>
      <c r="AF708" s="1082"/>
      <c r="AG708" s="1083"/>
      <c r="AH708" s="1075">
        <v>0.5</v>
      </c>
      <c r="AI708" s="1076"/>
      <c r="AJ708" s="1076"/>
      <c r="AK708" s="1076"/>
      <c r="AL708" s="1077"/>
      <c r="AM708" s="1253">
        <f t="shared" si="43"/>
        <v>0.26673132880698353</v>
      </c>
      <c r="AN708" s="1254"/>
      <c r="AO708" s="1255"/>
      <c r="AV708" s="43">
        <f t="shared" si="36"/>
        <v>2062</v>
      </c>
      <c r="AX708" s="41"/>
      <c r="AY708" s="443">
        <f t="shared" si="37"/>
        <v>5</v>
      </c>
      <c r="AZ708" s="449">
        <f t="shared" si="38"/>
        <v>0.1111111111111111</v>
      </c>
      <c r="BA708" s="450">
        <f t="shared" si="39"/>
        <v>5.5555555555555552E-2</v>
      </c>
      <c r="BB708" s="41"/>
      <c r="BC708" s="41"/>
      <c r="BD708" s="41"/>
      <c r="BE708" s="848">
        <f t="shared" si="40"/>
        <v>5</v>
      </c>
      <c r="BF708" s="852">
        <f t="shared" si="41"/>
        <v>0.1111111111111111</v>
      </c>
      <c r="BG708" s="853">
        <f t="shared" si="42"/>
        <v>2.9636814311887055E-2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61" t="s">
        <v>780</v>
      </c>
      <c r="C709" s="1062"/>
      <c r="D709" s="1062"/>
      <c r="E709" s="1062"/>
      <c r="F709" s="1063"/>
      <c r="G709" s="1064">
        <v>1</v>
      </c>
      <c r="H709" s="1065"/>
      <c r="I709" s="1065"/>
      <c r="J709" s="1066"/>
      <c r="K709" s="1070">
        <v>868</v>
      </c>
      <c r="L709" s="1071"/>
      <c r="M709" s="1071"/>
      <c r="N709" s="1072"/>
      <c r="O709" s="1067">
        <v>382</v>
      </c>
      <c r="P709" s="1068"/>
      <c r="Q709" s="1068"/>
      <c r="R709" s="1068"/>
      <c r="S709" s="1069"/>
      <c r="T709" s="1081">
        <f t="shared" si="34"/>
        <v>382</v>
      </c>
      <c r="U709" s="1082"/>
      <c r="V709" s="1082"/>
      <c r="W709" s="1082"/>
      <c r="X709" s="1083"/>
      <c r="Y709" s="1067">
        <v>12</v>
      </c>
      <c r="Z709" s="1068"/>
      <c r="AA709" s="1068"/>
      <c r="AB709" s="1069"/>
      <c r="AC709" s="1081">
        <f t="shared" si="35"/>
        <v>394</v>
      </c>
      <c r="AD709" s="1082"/>
      <c r="AE709" s="1082"/>
      <c r="AF709" s="1082"/>
      <c r="AG709" s="1083"/>
      <c r="AH709" s="1075">
        <v>0.3</v>
      </c>
      <c r="AI709" s="1076"/>
      <c r="AJ709" s="1076"/>
      <c r="AK709" s="1076"/>
      <c r="AL709" s="1077"/>
      <c r="AM709" s="1253">
        <f t="shared" si="43"/>
        <v>0.15925626515763944</v>
      </c>
      <c r="AN709" s="1254"/>
      <c r="AO709" s="1255"/>
      <c r="AV709" s="43">
        <f t="shared" si="36"/>
        <v>2474</v>
      </c>
      <c r="AX709" s="41"/>
      <c r="AY709" s="443">
        <f t="shared" si="37"/>
        <v>1</v>
      </c>
      <c r="AZ709" s="449">
        <f t="shared" si="38"/>
        <v>2.2222222222222223E-2</v>
      </c>
      <c r="BA709" s="450">
        <f t="shared" si="39"/>
        <v>6.6666666666666671E-3</v>
      </c>
      <c r="BB709" s="41"/>
      <c r="BC709" s="41"/>
      <c r="BD709" s="41"/>
      <c r="BE709" s="848">
        <f t="shared" si="40"/>
        <v>1</v>
      </c>
      <c r="BF709" s="852">
        <f t="shared" si="41"/>
        <v>2.2222222222222223E-2</v>
      </c>
      <c r="BG709" s="853">
        <f t="shared" si="42"/>
        <v>3.5390281146142097E-3</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61" t="s">
        <v>780</v>
      </c>
      <c r="C710" s="1062"/>
      <c r="D710" s="1062"/>
      <c r="E710" s="1062"/>
      <c r="F710" s="1063"/>
      <c r="G710" s="1064">
        <v>1</v>
      </c>
      <c r="H710" s="1065"/>
      <c r="I710" s="1065"/>
      <c r="J710" s="1066"/>
      <c r="K710" s="1070">
        <v>868</v>
      </c>
      <c r="L710" s="1071"/>
      <c r="M710" s="1071"/>
      <c r="N710" s="1072"/>
      <c r="O710" s="1067">
        <v>538</v>
      </c>
      <c r="P710" s="1068"/>
      <c r="Q710" s="1068"/>
      <c r="R710" s="1068"/>
      <c r="S710" s="1069"/>
      <c r="T710" s="1081">
        <f t="shared" si="34"/>
        <v>538</v>
      </c>
      <c r="U710" s="1082"/>
      <c r="V710" s="1082"/>
      <c r="W710" s="1082"/>
      <c r="X710" s="1083"/>
      <c r="Y710" s="1067">
        <v>12</v>
      </c>
      <c r="Z710" s="1068"/>
      <c r="AA710" s="1068"/>
      <c r="AB710" s="1069"/>
      <c r="AC710" s="1081">
        <f t="shared" si="35"/>
        <v>550</v>
      </c>
      <c r="AD710" s="1082"/>
      <c r="AE710" s="1082"/>
      <c r="AF710" s="1082"/>
      <c r="AG710" s="1083"/>
      <c r="AH710" s="1075">
        <v>0.5</v>
      </c>
      <c r="AI710" s="1076"/>
      <c r="AJ710" s="1076"/>
      <c r="AK710" s="1076"/>
      <c r="AL710" s="1077"/>
      <c r="AM710" s="1253">
        <f t="shared" si="43"/>
        <v>0.22231204527081649</v>
      </c>
      <c r="AN710" s="1254"/>
      <c r="AO710" s="1255"/>
      <c r="AV710" s="43">
        <f t="shared" si="36"/>
        <v>2474</v>
      </c>
      <c r="AX710" s="41"/>
      <c r="AY710" s="443">
        <f t="shared" si="37"/>
        <v>1</v>
      </c>
      <c r="AZ710" s="449">
        <f t="shared" si="38"/>
        <v>2.2222222222222223E-2</v>
      </c>
      <c r="BA710" s="450">
        <f t="shared" si="39"/>
        <v>1.1111111111111112E-2</v>
      </c>
      <c r="BB710" s="41"/>
      <c r="BC710" s="41"/>
      <c r="BD710" s="41"/>
      <c r="BE710" s="848">
        <f t="shared" si="40"/>
        <v>1</v>
      </c>
      <c r="BF710" s="852">
        <f t="shared" si="41"/>
        <v>2.2222222222222223E-2</v>
      </c>
      <c r="BG710" s="853">
        <f t="shared" si="42"/>
        <v>4.9402676726848114E-3</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61"/>
      <c r="C711" s="1062"/>
      <c r="D711" s="1062"/>
      <c r="E711" s="1062"/>
      <c r="F711" s="1063"/>
      <c r="G711" s="1064"/>
      <c r="H711" s="1065"/>
      <c r="I711" s="1065"/>
      <c r="J711" s="1066"/>
      <c r="K711" s="1070"/>
      <c r="L711" s="1071"/>
      <c r="M711" s="1071"/>
      <c r="N711" s="1072"/>
      <c r="O711" s="1067"/>
      <c r="P711" s="1068"/>
      <c r="Q711" s="1068"/>
      <c r="R711" s="1068"/>
      <c r="S711" s="1069"/>
      <c r="T711" s="1081">
        <f t="shared" si="34"/>
        <v>0</v>
      </c>
      <c r="U711" s="1082"/>
      <c r="V711" s="1082"/>
      <c r="W711" s="1082"/>
      <c r="X711" s="1083"/>
      <c r="Y711" s="1164"/>
      <c r="Z711" s="1165"/>
      <c r="AA711" s="1165"/>
      <c r="AB711" s="1166"/>
      <c r="AC711" s="1081">
        <f t="shared" si="35"/>
        <v>0</v>
      </c>
      <c r="AD711" s="1082"/>
      <c r="AE711" s="1082"/>
      <c r="AF711" s="1082"/>
      <c r="AG711" s="1083"/>
      <c r="AH711" s="1075"/>
      <c r="AI711" s="1076"/>
      <c r="AJ711" s="1076"/>
      <c r="AK711" s="1076"/>
      <c r="AL711" s="1077"/>
      <c r="AM711" s="1253" t="str">
        <f t="shared" si="43"/>
        <v/>
      </c>
      <c r="AN711" s="1254"/>
      <c r="AO711" s="1255"/>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92"/>
      <c r="C712" s="1393"/>
      <c r="D712" s="1393"/>
      <c r="E712" s="1393"/>
      <c r="F712" s="1413"/>
      <c r="G712" s="1404"/>
      <c r="H712" s="1405"/>
      <c r="I712" s="1405"/>
      <c r="J712" s="1406"/>
      <c r="K712" s="1277"/>
      <c r="L712" s="1278"/>
      <c r="M712" s="1278"/>
      <c r="N712" s="1279"/>
      <c r="O712" s="1164"/>
      <c r="P712" s="1165"/>
      <c r="Q712" s="1165"/>
      <c r="R712" s="1165"/>
      <c r="S712" s="1166"/>
      <c r="T712" s="1081">
        <f t="shared" si="34"/>
        <v>0</v>
      </c>
      <c r="U712" s="1082"/>
      <c r="V712" s="1082"/>
      <c r="W712" s="1082"/>
      <c r="X712" s="1083"/>
      <c r="Y712" s="1164"/>
      <c r="Z712" s="1165"/>
      <c r="AA712" s="1165"/>
      <c r="AB712" s="1166"/>
      <c r="AC712" s="1081">
        <f t="shared" si="35"/>
        <v>0</v>
      </c>
      <c r="AD712" s="1082"/>
      <c r="AE712" s="1082"/>
      <c r="AF712" s="1082"/>
      <c r="AG712" s="1083"/>
      <c r="AH712" s="1281"/>
      <c r="AI712" s="1282"/>
      <c r="AJ712" s="1282"/>
      <c r="AK712" s="1282"/>
      <c r="AL712" s="1283"/>
      <c r="AM712" s="1253" t="str">
        <f t="shared" si="43"/>
        <v/>
      </c>
      <c r="AN712" s="1254"/>
      <c r="AO712" s="1255"/>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92"/>
      <c r="C713" s="1393"/>
      <c r="D713" s="1393"/>
      <c r="E713" s="1393"/>
      <c r="F713" s="1413"/>
      <c r="G713" s="1404"/>
      <c r="H713" s="1405"/>
      <c r="I713" s="1405"/>
      <c r="J713" s="1406"/>
      <c r="K713" s="1277"/>
      <c r="L713" s="1278"/>
      <c r="M713" s="1278"/>
      <c r="N713" s="1279"/>
      <c r="O713" s="1164"/>
      <c r="P713" s="1165"/>
      <c r="Q713" s="1165"/>
      <c r="R713" s="1165"/>
      <c r="S713" s="1166"/>
      <c r="T713" s="1081">
        <f t="shared" si="34"/>
        <v>0</v>
      </c>
      <c r="U713" s="1082"/>
      <c r="V713" s="1082"/>
      <c r="W713" s="1082"/>
      <c r="X713" s="1083"/>
      <c r="Y713" s="1164"/>
      <c r="Z713" s="1165"/>
      <c r="AA713" s="1165"/>
      <c r="AB713" s="1166"/>
      <c r="AC713" s="1081">
        <f t="shared" si="35"/>
        <v>0</v>
      </c>
      <c r="AD713" s="1082"/>
      <c r="AE713" s="1082"/>
      <c r="AF713" s="1082"/>
      <c r="AG713" s="1083"/>
      <c r="AH713" s="1281"/>
      <c r="AI713" s="1282"/>
      <c r="AJ713" s="1282"/>
      <c r="AK713" s="1282"/>
      <c r="AL713" s="1283"/>
      <c r="AM713" s="1253" t="str">
        <f t="shared" si="43"/>
        <v/>
      </c>
      <c r="AN713" s="1254"/>
      <c r="AO713" s="1255"/>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92"/>
      <c r="C714" s="1393"/>
      <c r="D714" s="1393"/>
      <c r="E714" s="1393"/>
      <c r="F714" s="1413"/>
      <c r="G714" s="1404"/>
      <c r="H714" s="1405"/>
      <c r="I714" s="1405"/>
      <c r="J714" s="1406"/>
      <c r="K714" s="1277"/>
      <c r="L714" s="1278"/>
      <c r="M714" s="1278"/>
      <c r="N714" s="1279"/>
      <c r="O714" s="1164"/>
      <c r="P714" s="1165"/>
      <c r="Q714" s="1165"/>
      <c r="R714" s="1165"/>
      <c r="S714" s="1166"/>
      <c r="T714" s="1081">
        <f t="shared" si="34"/>
        <v>0</v>
      </c>
      <c r="U714" s="1082"/>
      <c r="V714" s="1082"/>
      <c r="W714" s="1082"/>
      <c r="X714" s="1083"/>
      <c r="Y714" s="1164"/>
      <c r="Z714" s="1165"/>
      <c r="AA714" s="1165"/>
      <c r="AB714" s="1166"/>
      <c r="AC714" s="1081">
        <f t="shared" si="35"/>
        <v>0</v>
      </c>
      <c r="AD714" s="1082"/>
      <c r="AE714" s="1082"/>
      <c r="AF714" s="1082"/>
      <c r="AG714" s="1083"/>
      <c r="AH714" s="1281"/>
      <c r="AI714" s="1282"/>
      <c r="AJ714" s="1282"/>
      <c r="AK714" s="1282"/>
      <c r="AL714" s="1283"/>
      <c r="AM714" s="1253" t="str">
        <f t="shared" si="43"/>
        <v/>
      </c>
      <c r="AN714" s="1254"/>
      <c r="AO714" s="1255"/>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92"/>
      <c r="C715" s="1393"/>
      <c r="D715" s="1393"/>
      <c r="E715" s="1393"/>
      <c r="F715" s="1413"/>
      <c r="G715" s="1404"/>
      <c r="H715" s="1405"/>
      <c r="I715" s="1405"/>
      <c r="J715" s="1406"/>
      <c r="K715" s="1277"/>
      <c r="L715" s="1278"/>
      <c r="M715" s="1278"/>
      <c r="N715" s="1279"/>
      <c r="O715" s="1164"/>
      <c r="P715" s="1165"/>
      <c r="Q715" s="1165"/>
      <c r="R715" s="1165"/>
      <c r="S715" s="1166"/>
      <c r="T715" s="1081">
        <f t="shared" si="34"/>
        <v>0</v>
      </c>
      <c r="U715" s="1082"/>
      <c r="V715" s="1082"/>
      <c r="W715" s="1082"/>
      <c r="X715" s="1083"/>
      <c r="Y715" s="1164"/>
      <c r="Z715" s="1165"/>
      <c r="AA715" s="1165"/>
      <c r="AB715" s="1166"/>
      <c r="AC715" s="1081">
        <f t="shared" si="35"/>
        <v>0</v>
      </c>
      <c r="AD715" s="1082"/>
      <c r="AE715" s="1082"/>
      <c r="AF715" s="1082"/>
      <c r="AG715" s="1083"/>
      <c r="AH715" s="1281"/>
      <c r="AI715" s="1282"/>
      <c r="AJ715" s="1282"/>
      <c r="AK715" s="1282"/>
      <c r="AL715" s="1283"/>
      <c r="AM715" s="1253" t="str">
        <f t="shared" si="43"/>
        <v/>
      </c>
      <c r="AN715" s="1254"/>
      <c r="AO715" s="1255"/>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92"/>
      <c r="C716" s="1393"/>
      <c r="D716" s="1393"/>
      <c r="E716" s="1393"/>
      <c r="F716" s="1413"/>
      <c r="G716" s="1404"/>
      <c r="H716" s="1405"/>
      <c r="I716" s="1405"/>
      <c r="J716" s="1406"/>
      <c r="K716" s="1277"/>
      <c r="L716" s="1278"/>
      <c r="M716" s="1278"/>
      <c r="N716" s="1279"/>
      <c r="O716" s="1164"/>
      <c r="P716" s="1165"/>
      <c r="Q716" s="1165"/>
      <c r="R716" s="1165"/>
      <c r="S716" s="1166"/>
      <c r="T716" s="1081">
        <f t="shared" si="34"/>
        <v>0</v>
      </c>
      <c r="U716" s="1082"/>
      <c r="V716" s="1082"/>
      <c r="W716" s="1082"/>
      <c r="X716" s="1083"/>
      <c r="Y716" s="1164"/>
      <c r="Z716" s="1165"/>
      <c r="AA716" s="1165"/>
      <c r="AB716" s="1166"/>
      <c r="AC716" s="1081">
        <f t="shared" si="35"/>
        <v>0</v>
      </c>
      <c r="AD716" s="1082"/>
      <c r="AE716" s="1082"/>
      <c r="AF716" s="1082"/>
      <c r="AG716" s="1083"/>
      <c r="AH716" s="1281"/>
      <c r="AI716" s="1282"/>
      <c r="AJ716" s="1282"/>
      <c r="AK716" s="1282"/>
      <c r="AL716" s="1283"/>
      <c r="AM716" s="1253" t="str">
        <f t="shared" si="43"/>
        <v/>
      </c>
      <c r="AN716" s="1254"/>
      <c r="AO716" s="1255"/>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92"/>
      <c r="C717" s="1393"/>
      <c r="D717" s="1393"/>
      <c r="E717" s="1393"/>
      <c r="F717" s="1413"/>
      <c r="G717" s="1404"/>
      <c r="H717" s="1405"/>
      <c r="I717" s="1405"/>
      <c r="J717" s="1406"/>
      <c r="K717" s="1277"/>
      <c r="L717" s="1278"/>
      <c r="M717" s="1278"/>
      <c r="N717" s="1279"/>
      <c r="O717" s="1164"/>
      <c r="P717" s="1165"/>
      <c r="Q717" s="1165"/>
      <c r="R717" s="1165"/>
      <c r="S717" s="1166"/>
      <c r="T717" s="1081">
        <f t="shared" si="34"/>
        <v>0</v>
      </c>
      <c r="U717" s="1082"/>
      <c r="V717" s="1082"/>
      <c r="W717" s="1082"/>
      <c r="X717" s="1083"/>
      <c r="Y717" s="1164"/>
      <c r="Z717" s="1165"/>
      <c r="AA717" s="1165"/>
      <c r="AB717" s="1166"/>
      <c r="AC717" s="1081">
        <f t="shared" si="35"/>
        <v>0</v>
      </c>
      <c r="AD717" s="1082"/>
      <c r="AE717" s="1082"/>
      <c r="AF717" s="1082"/>
      <c r="AG717" s="1083"/>
      <c r="AH717" s="1281"/>
      <c r="AI717" s="1282"/>
      <c r="AJ717" s="1282"/>
      <c r="AK717" s="1282"/>
      <c r="AL717" s="1283"/>
      <c r="AM717" s="1253" t="str">
        <f t="shared" si="43"/>
        <v/>
      </c>
      <c r="AN717" s="1254"/>
      <c r="AO717" s="1255"/>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92"/>
      <c r="C718" s="1393"/>
      <c r="D718" s="1393"/>
      <c r="E718" s="1393"/>
      <c r="F718" s="1413"/>
      <c r="G718" s="1404"/>
      <c r="H718" s="1405"/>
      <c r="I718" s="1405"/>
      <c r="J718" s="1406"/>
      <c r="K718" s="1277"/>
      <c r="L718" s="1278"/>
      <c r="M718" s="1278"/>
      <c r="N718" s="1279"/>
      <c r="O718" s="1164"/>
      <c r="P718" s="1165"/>
      <c r="Q718" s="1165"/>
      <c r="R718" s="1165"/>
      <c r="S718" s="1166"/>
      <c r="T718" s="1081">
        <f t="shared" si="34"/>
        <v>0</v>
      </c>
      <c r="U718" s="1082"/>
      <c r="V718" s="1082"/>
      <c r="W718" s="1082"/>
      <c r="X718" s="1083"/>
      <c r="Y718" s="1164"/>
      <c r="Z718" s="1165"/>
      <c r="AA718" s="1165"/>
      <c r="AB718" s="1166"/>
      <c r="AC718" s="1081">
        <f t="shared" si="35"/>
        <v>0</v>
      </c>
      <c r="AD718" s="1082"/>
      <c r="AE718" s="1082"/>
      <c r="AF718" s="1082"/>
      <c r="AG718" s="1083"/>
      <c r="AH718" s="1281"/>
      <c r="AI718" s="1282"/>
      <c r="AJ718" s="1282"/>
      <c r="AK718" s="1282"/>
      <c r="AL718" s="1283"/>
      <c r="AM718" s="1253" t="str">
        <f t="shared" si="43"/>
        <v/>
      </c>
      <c r="AN718" s="1254"/>
      <c r="AO718" s="1255"/>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92"/>
      <c r="C719" s="1393"/>
      <c r="D719" s="1393"/>
      <c r="E719" s="1393"/>
      <c r="F719" s="1413"/>
      <c r="G719" s="1404"/>
      <c r="H719" s="1405"/>
      <c r="I719" s="1405"/>
      <c r="J719" s="1406"/>
      <c r="K719" s="1277"/>
      <c r="L719" s="1278"/>
      <c r="M719" s="1278"/>
      <c r="N719" s="1279"/>
      <c r="O719" s="1164"/>
      <c r="P719" s="1165"/>
      <c r="Q719" s="1165"/>
      <c r="R719" s="1165"/>
      <c r="S719" s="1166"/>
      <c r="T719" s="1081">
        <f t="shared" si="34"/>
        <v>0</v>
      </c>
      <c r="U719" s="1082"/>
      <c r="V719" s="1082"/>
      <c r="W719" s="1082"/>
      <c r="X719" s="1083"/>
      <c r="Y719" s="1164"/>
      <c r="Z719" s="1165"/>
      <c r="AA719" s="1165"/>
      <c r="AB719" s="1166"/>
      <c r="AC719" s="1081">
        <f t="shared" si="35"/>
        <v>0</v>
      </c>
      <c r="AD719" s="1082"/>
      <c r="AE719" s="1082"/>
      <c r="AF719" s="1082"/>
      <c r="AG719" s="1083"/>
      <c r="AH719" s="1281"/>
      <c r="AI719" s="1282"/>
      <c r="AJ719" s="1282"/>
      <c r="AK719" s="1282"/>
      <c r="AL719" s="1283"/>
      <c r="AM719" s="1253" t="str">
        <f t="shared" si="43"/>
        <v/>
      </c>
      <c r="AN719" s="1254"/>
      <c r="AO719" s="1255"/>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92"/>
      <c r="C720" s="1393"/>
      <c r="D720" s="1393"/>
      <c r="E720" s="1393"/>
      <c r="F720" s="1413"/>
      <c r="G720" s="1404"/>
      <c r="H720" s="1405"/>
      <c r="I720" s="1405"/>
      <c r="J720" s="1406"/>
      <c r="K720" s="1277"/>
      <c r="L720" s="1278"/>
      <c r="M720" s="1278"/>
      <c r="N720" s="1279"/>
      <c r="O720" s="1164"/>
      <c r="P720" s="1165"/>
      <c r="Q720" s="1165"/>
      <c r="R720" s="1165"/>
      <c r="S720" s="1166"/>
      <c r="T720" s="1081">
        <f t="shared" si="34"/>
        <v>0</v>
      </c>
      <c r="U720" s="1082"/>
      <c r="V720" s="1082"/>
      <c r="W720" s="1082"/>
      <c r="X720" s="1083"/>
      <c r="Y720" s="1164"/>
      <c r="Z720" s="1165"/>
      <c r="AA720" s="1165"/>
      <c r="AB720" s="1166"/>
      <c r="AC720" s="1081">
        <f t="shared" si="35"/>
        <v>0</v>
      </c>
      <c r="AD720" s="1082"/>
      <c r="AE720" s="1082"/>
      <c r="AF720" s="1082"/>
      <c r="AG720" s="1083"/>
      <c r="AH720" s="1281"/>
      <c r="AI720" s="1282"/>
      <c r="AJ720" s="1282"/>
      <c r="AK720" s="1282"/>
      <c r="AL720" s="1283"/>
      <c r="AM720" s="1253" t="str">
        <f t="shared" si="43"/>
        <v/>
      </c>
      <c r="AN720" s="1254"/>
      <c r="AO720" s="1255"/>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92"/>
      <c r="C721" s="1393"/>
      <c r="D721" s="1393"/>
      <c r="E721" s="1393"/>
      <c r="F721" s="1413"/>
      <c r="G721" s="1404"/>
      <c r="H721" s="1405"/>
      <c r="I721" s="1405"/>
      <c r="J721" s="1406"/>
      <c r="K721" s="1277"/>
      <c r="L721" s="1278"/>
      <c r="M721" s="1278"/>
      <c r="N721" s="1279"/>
      <c r="O721" s="1164"/>
      <c r="P721" s="1165"/>
      <c r="Q721" s="1165"/>
      <c r="R721" s="1165"/>
      <c r="S721" s="1166"/>
      <c r="T721" s="1081">
        <f t="shared" si="34"/>
        <v>0</v>
      </c>
      <c r="U721" s="1082"/>
      <c r="V721" s="1082"/>
      <c r="W721" s="1082"/>
      <c r="X721" s="1083"/>
      <c r="Y721" s="1164"/>
      <c r="Z721" s="1165"/>
      <c r="AA721" s="1165"/>
      <c r="AB721" s="1166"/>
      <c r="AC721" s="1081">
        <f t="shared" si="35"/>
        <v>0</v>
      </c>
      <c r="AD721" s="1082"/>
      <c r="AE721" s="1082"/>
      <c r="AF721" s="1082"/>
      <c r="AG721" s="1083"/>
      <c r="AH721" s="1281"/>
      <c r="AI721" s="1282"/>
      <c r="AJ721" s="1282"/>
      <c r="AK721" s="1282"/>
      <c r="AL721" s="1283"/>
      <c r="AM721" s="1253" t="str">
        <f t="shared" si="43"/>
        <v/>
      </c>
      <c r="AN721" s="1254"/>
      <c r="AO721" s="1255"/>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92"/>
      <c r="C722" s="1393"/>
      <c r="D722" s="1393"/>
      <c r="E722" s="1393"/>
      <c r="F722" s="1413"/>
      <c r="G722" s="1404"/>
      <c r="H722" s="1405"/>
      <c r="I722" s="1405"/>
      <c r="J722" s="1406"/>
      <c r="K722" s="1277"/>
      <c r="L722" s="1278"/>
      <c r="M722" s="1278"/>
      <c r="N722" s="1279"/>
      <c r="O722" s="1164"/>
      <c r="P722" s="1165"/>
      <c r="Q722" s="1165"/>
      <c r="R722" s="1165"/>
      <c r="S722" s="1166"/>
      <c r="T722" s="1081">
        <f t="shared" si="34"/>
        <v>0</v>
      </c>
      <c r="U722" s="1082"/>
      <c r="V722" s="1082"/>
      <c r="W722" s="1082"/>
      <c r="X722" s="1083"/>
      <c r="Y722" s="1164"/>
      <c r="Z722" s="1165"/>
      <c r="AA722" s="1165"/>
      <c r="AB722" s="1166"/>
      <c r="AC722" s="1081">
        <f t="shared" si="35"/>
        <v>0</v>
      </c>
      <c r="AD722" s="1082"/>
      <c r="AE722" s="1082"/>
      <c r="AF722" s="1082"/>
      <c r="AG722" s="1083"/>
      <c r="AH722" s="1281"/>
      <c r="AI722" s="1282"/>
      <c r="AJ722" s="1282"/>
      <c r="AK722" s="1282"/>
      <c r="AL722" s="1283"/>
      <c r="AM722" s="1253" t="str">
        <f t="shared" si="43"/>
        <v/>
      </c>
      <c r="AN722" s="1254"/>
      <c r="AO722" s="1255"/>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92"/>
      <c r="C723" s="1393"/>
      <c r="D723" s="1393"/>
      <c r="E723" s="1393"/>
      <c r="F723" s="1413"/>
      <c r="G723" s="1404"/>
      <c r="H723" s="1405"/>
      <c r="I723" s="1405"/>
      <c r="J723" s="1406"/>
      <c r="K723" s="1277"/>
      <c r="L723" s="1278"/>
      <c r="M723" s="1278"/>
      <c r="N723" s="1279"/>
      <c r="O723" s="1164"/>
      <c r="P723" s="1165"/>
      <c r="Q723" s="1165"/>
      <c r="R723" s="1165"/>
      <c r="S723" s="1166"/>
      <c r="T723" s="1081">
        <f t="shared" si="34"/>
        <v>0</v>
      </c>
      <c r="U723" s="1082"/>
      <c r="V723" s="1082"/>
      <c r="W723" s="1082"/>
      <c r="X723" s="1083"/>
      <c r="Y723" s="1164"/>
      <c r="Z723" s="1165"/>
      <c r="AA723" s="1165"/>
      <c r="AB723" s="1166"/>
      <c r="AC723" s="1081">
        <f t="shared" si="35"/>
        <v>0</v>
      </c>
      <c r="AD723" s="1082"/>
      <c r="AE723" s="1082"/>
      <c r="AF723" s="1082"/>
      <c r="AG723" s="1083"/>
      <c r="AH723" s="1281"/>
      <c r="AI723" s="1282"/>
      <c r="AJ723" s="1282"/>
      <c r="AK723" s="1282"/>
      <c r="AL723" s="1283"/>
      <c r="AM723" s="1253" t="str">
        <f t="shared" si="43"/>
        <v/>
      </c>
      <c r="AN723" s="1254"/>
      <c r="AO723" s="1255"/>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92"/>
      <c r="C724" s="1393"/>
      <c r="D724" s="1393"/>
      <c r="E724" s="1393"/>
      <c r="F724" s="1413"/>
      <c r="G724" s="1404"/>
      <c r="H724" s="1405"/>
      <c r="I724" s="1405"/>
      <c r="J724" s="1406"/>
      <c r="K724" s="1277"/>
      <c r="L724" s="1278"/>
      <c r="M724" s="1278"/>
      <c r="N724" s="1279"/>
      <c r="O724" s="1164"/>
      <c r="P724" s="1165"/>
      <c r="Q724" s="1165"/>
      <c r="R724" s="1165"/>
      <c r="S724" s="1166"/>
      <c r="T724" s="1081">
        <f t="shared" si="34"/>
        <v>0</v>
      </c>
      <c r="U724" s="1082"/>
      <c r="V724" s="1082"/>
      <c r="W724" s="1082"/>
      <c r="X724" s="1083"/>
      <c r="Y724" s="1164"/>
      <c r="Z724" s="1165"/>
      <c r="AA724" s="1165"/>
      <c r="AB724" s="1166"/>
      <c r="AC724" s="1081">
        <f t="shared" si="35"/>
        <v>0</v>
      </c>
      <c r="AD724" s="1082"/>
      <c r="AE724" s="1082"/>
      <c r="AF724" s="1082"/>
      <c r="AG724" s="1083"/>
      <c r="AH724" s="1281"/>
      <c r="AI724" s="1282"/>
      <c r="AJ724" s="1282"/>
      <c r="AK724" s="1282"/>
      <c r="AL724" s="1283"/>
      <c r="AM724" s="1253" t="str">
        <f t="shared" si="43"/>
        <v/>
      </c>
      <c r="AN724" s="1254"/>
      <c r="AO724" s="1255"/>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92"/>
      <c r="C725" s="1393"/>
      <c r="D725" s="1393"/>
      <c r="E725" s="1393"/>
      <c r="F725" s="1413"/>
      <c r="G725" s="1404"/>
      <c r="H725" s="1405"/>
      <c r="I725" s="1405"/>
      <c r="J725" s="1406"/>
      <c r="K725" s="1277"/>
      <c r="L725" s="1278"/>
      <c r="M725" s="1278"/>
      <c r="N725" s="1279"/>
      <c r="O725" s="1164"/>
      <c r="P725" s="1165"/>
      <c r="Q725" s="1165"/>
      <c r="R725" s="1165"/>
      <c r="S725" s="1166"/>
      <c r="T725" s="1081">
        <f t="shared" si="34"/>
        <v>0</v>
      </c>
      <c r="U725" s="1082"/>
      <c r="V725" s="1082"/>
      <c r="W725" s="1082"/>
      <c r="X725" s="1083"/>
      <c r="Y725" s="1164"/>
      <c r="Z725" s="1165"/>
      <c r="AA725" s="1165"/>
      <c r="AB725" s="1166"/>
      <c r="AC725" s="1081">
        <f t="shared" si="35"/>
        <v>0</v>
      </c>
      <c r="AD725" s="1082"/>
      <c r="AE725" s="1082"/>
      <c r="AF725" s="1082"/>
      <c r="AG725" s="1083"/>
      <c r="AH725" s="1281"/>
      <c r="AI725" s="1282"/>
      <c r="AJ725" s="1282"/>
      <c r="AK725" s="1282"/>
      <c r="AL725" s="1283"/>
      <c r="AM725" s="1253" t="str">
        <f t="shared" si="43"/>
        <v/>
      </c>
      <c r="AN725" s="1254"/>
      <c r="AO725" s="1255"/>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92"/>
      <c r="C726" s="1393"/>
      <c r="D726" s="1393"/>
      <c r="E726" s="1393"/>
      <c r="F726" s="1413"/>
      <c r="G726" s="1404"/>
      <c r="H726" s="1405"/>
      <c r="I726" s="1405"/>
      <c r="J726" s="1406"/>
      <c r="K726" s="1277"/>
      <c r="L726" s="1278"/>
      <c r="M726" s="1278"/>
      <c r="N726" s="1279"/>
      <c r="O726" s="1164"/>
      <c r="P726" s="1165"/>
      <c r="Q726" s="1165"/>
      <c r="R726" s="1165"/>
      <c r="S726" s="1166"/>
      <c r="T726" s="1081">
        <f t="shared" si="34"/>
        <v>0</v>
      </c>
      <c r="U726" s="1082"/>
      <c r="V726" s="1082"/>
      <c r="W726" s="1082"/>
      <c r="X726" s="1083"/>
      <c r="Y726" s="1164"/>
      <c r="Z726" s="1165"/>
      <c r="AA726" s="1165"/>
      <c r="AB726" s="1166"/>
      <c r="AC726" s="1081">
        <f t="shared" si="35"/>
        <v>0</v>
      </c>
      <c r="AD726" s="1082"/>
      <c r="AE726" s="1082"/>
      <c r="AF726" s="1082"/>
      <c r="AG726" s="1083"/>
      <c r="AH726" s="1281"/>
      <c r="AI726" s="1282"/>
      <c r="AJ726" s="1282"/>
      <c r="AK726" s="1282"/>
      <c r="AL726" s="1283"/>
      <c r="AM726" s="1253" t="str">
        <f t="shared" si="43"/>
        <v/>
      </c>
      <c r="AN726" s="1254"/>
      <c r="AO726" s="1255"/>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92"/>
      <c r="C727" s="1393"/>
      <c r="D727" s="1393"/>
      <c r="E727" s="1393"/>
      <c r="F727" s="1413"/>
      <c r="G727" s="1404"/>
      <c r="H727" s="1405"/>
      <c r="I727" s="1405"/>
      <c r="J727" s="1406"/>
      <c r="K727" s="1277"/>
      <c r="L727" s="1278"/>
      <c r="M727" s="1278"/>
      <c r="N727" s="1279"/>
      <c r="O727" s="1164"/>
      <c r="P727" s="1165"/>
      <c r="Q727" s="1165"/>
      <c r="R727" s="1165"/>
      <c r="S727" s="1166"/>
      <c r="T727" s="1081">
        <f t="shared" ref="T727:T736" si="44">G727*O727</f>
        <v>0</v>
      </c>
      <c r="U727" s="1082"/>
      <c r="V727" s="1082"/>
      <c r="W727" s="1082"/>
      <c r="X727" s="1083"/>
      <c r="Y727" s="1164"/>
      <c r="Z727" s="1165"/>
      <c r="AA727" s="1165"/>
      <c r="AB727" s="1166"/>
      <c r="AC727" s="1081">
        <f t="shared" ref="AC727:AC736" si="45">O727+Y727</f>
        <v>0</v>
      </c>
      <c r="AD727" s="1082"/>
      <c r="AE727" s="1082"/>
      <c r="AF727" s="1082"/>
      <c r="AG727" s="1083"/>
      <c r="AH727" s="1281"/>
      <c r="AI727" s="1282"/>
      <c r="AJ727" s="1282"/>
      <c r="AK727" s="1282"/>
      <c r="AL727" s="1283"/>
      <c r="AM727" s="1253" t="str">
        <f t="shared" ref="AM727:AM736" si="46">IF($AH727&gt;0,($AC727/$AV727), "")</f>
        <v/>
      </c>
      <c r="AN727" s="1254"/>
      <c r="AO727" s="1255"/>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92"/>
      <c r="C728" s="1393"/>
      <c r="D728" s="1393"/>
      <c r="E728" s="1393"/>
      <c r="F728" s="1413"/>
      <c r="G728" s="1404"/>
      <c r="H728" s="1405"/>
      <c r="I728" s="1405"/>
      <c r="J728" s="1406"/>
      <c r="K728" s="1277"/>
      <c r="L728" s="1278"/>
      <c r="M728" s="1278"/>
      <c r="N728" s="1279"/>
      <c r="O728" s="1164"/>
      <c r="P728" s="1165"/>
      <c r="Q728" s="1165"/>
      <c r="R728" s="1165"/>
      <c r="S728" s="1166"/>
      <c r="T728" s="1081">
        <f t="shared" si="44"/>
        <v>0</v>
      </c>
      <c r="U728" s="1082"/>
      <c r="V728" s="1082"/>
      <c r="W728" s="1082"/>
      <c r="X728" s="1083"/>
      <c r="Y728" s="1164"/>
      <c r="Z728" s="1165"/>
      <c r="AA728" s="1165"/>
      <c r="AB728" s="1166"/>
      <c r="AC728" s="1081">
        <f t="shared" si="45"/>
        <v>0</v>
      </c>
      <c r="AD728" s="1082"/>
      <c r="AE728" s="1082"/>
      <c r="AF728" s="1082"/>
      <c r="AG728" s="1083"/>
      <c r="AH728" s="1281"/>
      <c r="AI728" s="1282"/>
      <c r="AJ728" s="1282"/>
      <c r="AK728" s="1282"/>
      <c r="AL728" s="1283"/>
      <c r="AM728" s="1253" t="str">
        <f t="shared" si="46"/>
        <v/>
      </c>
      <c r="AN728" s="1254"/>
      <c r="AO728" s="1255"/>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92"/>
      <c r="C729" s="1393"/>
      <c r="D729" s="1393"/>
      <c r="E729" s="1393"/>
      <c r="F729" s="1413"/>
      <c r="G729" s="1404"/>
      <c r="H729" s="1405"/>
      <c r="I729" s="1405"/>
      <c r="J729" s="1406"/>
      <c r="K729" s="1277"/>
      <c r="L729" s="1278"/>
      <c r="M729" s="1278"/>
      <c r="N729" s="1279"/>
      <c r="O729" s="1164"/>
      <c r="P729" s="1165"/>
      <c r="Q729" s="1165"/>
      <c r="R729" s="1165"/>
      <c r="S729" s="1166"/>
      <c r="T729" s="1081">
        <f t="shared" si="44"/>
        <v>0</v>
      </c>
      <c r="U729" s="1082"/>
      <c r="V729" s="1082"/>
      <c r="W729" s="1082"/>
      <c r="X729" s="1083"/>
      <c r="Y729" s="1164"/>
      <c r="Z729" s="1165"/>
      <c r="AA729" s="1165"/>
      <c r="AB729" s="1166"/>
      <c r="AC729" s="1081">
        <f t="shared" si="45"/>
        <v>0</v>
      </c>
      <c r="AD729" s="1082"/>
      <c r="AE729" s="1082"/>
      <c r="AF729" s="1082"/>
      <c r="AG729" s="1083"/>
      <c r="AH729" s="1281"/>
      <c r="AI729" s="1282"/>
      <c r="AJ729" s="1282"/>
      <c r="AK729" s="1282"/>
      <c r="AL729" s="1283"/>
      <c r="AM729" s="1253" t="str">
        <f t="shared" si="46"/>
        <v/>
      </c>
      <c r="AN729" s="1254"/>
      <c r="AO729" s="1255"/>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92"/>
      <c r="C730" s="1393"/>
      <c r="D730" s="1393"/>
      <c r="E730" s="1393"/>
      <c r="F730" s="1413"/>
      <c r="G730" s="1404"/>
      <c r="H730" s="1405"/>
      <c r="I730" s="1405"/>
      <c r="J730" s="1406"/>
      <c r="K730" s="1277"/>
      <c r="L730" s="1278"/>
      <c r="M730" s="1278"/>
      <c r="N730" s="1279"/>
      <c r="O730" s="1164"/>
      <c r="P730" s="1165"/>
      <c r="Q730" s="1165"/>
      <c r="R730" s="1165"/>
      <c r="S730" s="1166"/>
      <c r="T730" s="1081">
        <f t="shared" si="44"/>
        <v>0</v>
      </c>
      <c r="U730" s="1082"/>
      <c r="V730" s="1082"/>
      <c r="W730" s="1082"/>
      <c r="X730" s="1083"/>
      <c r="Y730" s="1164"/>
      <c r="Z730" s="1165"/>
      <c r="AA730" s="1165"/>
      <c r="AB730" s="1166"/>
      <c r="AC730" s="1081">
        <f t="shared" si="45"/>
        <v>0</v>
      </c>
      <c r="AD730" s="1082"/>
      <c r="AE730" s="1082"/>
      <c r="AF730" s="1082"/>
      <c r="AG730" s="1083"/>
      <c r="AH730" s="1281"/>
      <c r="AI730" s="1282"/>
      <c r="AJ730" s="1282"/>
      <c r="AK730" s="1282"/>
      <c r="AL730" s="1283"/>
      <c r="AM730" s="1253" t="str">
        <f t="shared" si="46"/>
        <v/>
      </c>
      <c r="AN730" s="1254"/>
      <c r="AO730" s="1255"/>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92"/>
      <c r="C731" s="1393"/>
      <c r="D731" s="1393"/>
      <c r="E731" s="1393"/>
      <c r="F731" s="1413"/>
      <c r="G731" s="1404"/>
      <c r="H731" s="1405"/>
      <c r="I731" s="1405"/>
      <c r="J731" s="1406"/>
      <c r="K731" s="1277"/>
      <c r="L731" s="1278"/>
      <c r="M731" s="1278"/>
      <c r="N731" s="1279"/>
      <c r="O731" s="1164"/>
      <c r="P731" s="1165"/>
      <c r="Q731" s="1165"/>
      <c r="R731" s="1165"/>
      <c r="S731" s="1166"/>
      <c r="T731" s="1081">
        <f t="shared" si="44"/>
        <v>0</v>
      </c>
      <c r="U731" s="1082"/>
      <c r="V731" s="1082"/>
      <c r="W731" s="1082"/>
      <c r="X731" s="1083"/>
      <c r="Y731" s="1164"/>
      <c r="Z731" s="1165"/>
      <c r="AA731" s="1165"/>
      <c r="AB731" s="1166"/>
      <c r="AC731" s="1081">
        <f t="shared" si="45"/>
        <v>0</v>
      </c>
      <c r="AD731" s="1082"/>
      <c r="AE731" s="1082"/>
      <c r="AF731" s="1082"/>
      <c r="AG731" s="1083"/>
      <c r="AH731" s="1281"/>
      <c r="AI731" s="1282"/>
      <c r="AJ731" s="1282"/>
      <c r="AK731" s="1282"/>
      <c r="AL731" s="1283"/>
      <c r="AM731" s="1253" t="str">
        <f t="shared" si="46"/>
        <v/>
      </c>
      <c r="AN731" s="1254"/>
      <c r="AO731" s="1255"/>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92"/>
      <c r="C732" s="1393"/>
      <c r="D732" s="1393"/>
      <c r="E732" s="1393"/>
      <c r="F732" s="1413"/>
      <c r="G732" s="1404"/>
      <c r="H732" s="1405"/>
      <c r="I732" s="1405"/>
      <c r="J732" s="1406"/>
      <c r="K732" s="1277"/>
      <c r="L732" s="1278"/>
      <c r="M732" s="1278"/>
      <c r="N732" s="1279"/>
      <c r="O732" s="1164"/>
      <c r="P732" s="1165"/>
      <c r="Q732" s="1165"/>
      <c r="R732" s="1165"/>
      <c r="S732" s="1166"/>
      <c r="T732" s="1081">
        <f t="shared" si="44"/>
        <v>0</v>
      </c>
      <c r="U732" s="1082"/>
      <c r="V732" s="1082"/>
      <c r="W732" s="1082"/>
      <c r="X732" s="1083"/>
      <c r="Y732" s="1164"/>
      <c r="Z732" s="1165"/>
      <c r="AA732" s="1165"/>
      <c r="AB732" s="1166"/>
      <c r="AC732" s="1081">
        <f t="shared" si="45"/>
        <v>0</v>
      </c>
      <c r="AD732" s="1082"/>
      <c r="AE732" s="1082"/>
      <c r="AF732" s="1082"/>
      <c r="AG732" s="1083"/>
      <c r="AH732" s="1281"/>
      <c r="AI732" s="1282"/>
      <c r="AJ732" s="1282"/>
      <c r="AK732" s="1282"/>
      <c r="AL732" s="1283"/>
      <c r="AM732" s="1253" t="str">
        <f t="shared" si="46"/>
        <v/>
      </c>
      <c r="AN732" s="1254"/>
      <c r="AO732" s="1255"/>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92"/>
      <c r="C733" s="1393"/>
      <c r="D733" s="1393"/>
      <c r="E733" s="1393"/>
      <c r="F733" s="1413"/>
      <c r="G733" s="1404"/>
      <c r="H733" s="1405"/>
      <c r="I733" s="1405"/>
      <c r="J733" s="1406"/>
      <c r="K733" s="1277"/>
      <c r="L733" s="1278"/>
      <c r="M733" s="1278"/>
      <c r="N733" s="1279"/>
      <c r="O733" s="1164"/>
      <c r="P733" s="1165"/>
      <c r="Q733" s="1165"/>
      <c r="R733" s="1165"/>
      <c r="S733" s="1166"/>
      <c r="T733" s="1081">
        <f t="shared" si="44"/>
        <v>0</v>
      </c>
      <c r="U733" s="1082"/>
      <c r="V733" s="1082"/>
      <c r="W733" s="1082"/>
      <c r="X733" s="1083"/>
      <c r="Y733" s="1164"/>
      <c r="Z733" s="1165"/>
      <c r="AA733" s="1165"/>
      <c r="AB733" s="1166"/>
      <c r="AC733" s="1081">
        <f t="shared" si="45"/>
        <v>0</v>
      </c>
      <c r="AD733" s="1082"/>
      <c r="AE733" s="1082"/>
      <c r="AF733" s="1082"/>
      <c r="AG733" s="1083"/>
      <c r="AH733" s="1281"/>
      <c r="AI733" s="1282"/>
      <c r="AJ733" s="1282"/>
      <c r="AK733" s="1282"/>
      <c r="AL733" s="1283"/>
      <c r="AM733" s="1253" t="str">
        <f t="shared" si="46"/>
        <v/>
      </c>
      <c r="AN733" s="1254"/>
      <c r="AO733" s="1255"/>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92"/>
      <c r="C734" s="1393"/>
      <c r="D734" s="1393"/>
      <c r="E734" s="1393"/>
      <c r="F734" s="1413"/>
      <c r="G734" s="1404"/>
      <c r="H734" s="1405"/>
      <c r="I734" s="1405"/>
      <c r="J734" s="1406"/>
      <c r="K734" s="1277"/>
      <c r="L734" s="1278"/>
      <c r="M734" s="1278"/>
      <c r="N734" s="1279"/>
      <c r="O734" s="1164"/>
      <c r="P734" s="1165"/>
      <c r="Q734" s="1165"/>
      <c r="R734" s="1165"/>
      <c r="S734" s="1166"/>
      <c r="T734" s="1081">
        <f t="shared" si="44"/>
        <v>0</v>
      </c>
      <c r="U734" s="1082"/>
      <c r="V734" s="1082"/>
      <c r="W734" s="1082"/>
      <c r="X734" s="1083"/>
      <c r="Y734" s="1164"/>
      <c r="Z734" s="1165"/>
      <c r="AA734" s="1165"/>
      <c r="AB734" s="1166"/>
      <c r="AC734" s="1081">
        <f t="shared" si="45"/>
        <v>0</v>
      </c>
      <c r="AD734" s="1082"/>
      <c r="AE734" s="1082"/>
      <c r="AF734" s="1082"/>
      <c r="AG734" s="1083"/>
      <c r="AH734" s="1281"/>
      <c r="AI734" s="1282"/>
      <c r="AJ734" s="1282"/>
      <c r="AK734" s="1282"/>
      <c r="AL734" s="1283"/>
      <c r="AM734" s="1253" t="str">
        <f t="shared" si="46"/>
        <v/>
      </c>
      <c r="AN734" s="1254"/>
      <c r="AO734" s="1255"/>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92"/>
      <c r="C735" s="1393"/>
      <c r="D735" s="1393"/>
      <c r="E735" s="1393"/>
      <c r="F735" s="1413"/>
      <c r="G735" s="1404"/>
      <c r="H735" s="1405"/>
      <c r="I735" s="1405"/>
      <c r="J735" s="1406"/>
      <c r="K735" s="1277"/>
      <c r="L735" s="1278"/>
      <c r="M735" s="1278"/>
      <c r="N735" s="1279"/>
      <c r="O735" s="1164"/>
      <c r="P735" s="1165"/>
      <c r="Q735" s="1165"/>
      <c r="R735" s="1165"/>
      <c r="S735" s="1166"/>
      <c r="T735" s="1081">
        <f t="shared" si="44"/>
        <v>0</v>
      </c>
      <c r="U735" s="1082"/>
      <c r="V735" s="1082"/>
      <c r="W735" s="1082"/>
      <c r="X735" s="1083"/>
      <c r="Y735" s="1164"/>
      <c r="Z735" s="1165"/>
      <c r="AA735" s="1165"/>
      <c r="AB735" s="1166"/>
      <c r="AC735" s="1081">
        <f t="shared" si="45"/>
        <v>0</v>
      </c>
      <c r="AD735" s="1082"/>
      <c r="AE735" s="1082"/>
      <c r="AF735" s="1082"/>
      <c r="AG735" s="1083"/>
      <c r="AH735" s="1281"/>
      <c r="AI735" s="1282"/>
      <c r="AJ735" s="1282"/>
      <c r="AK735" s="1282"/>
      <c r="AL735" s="1283"/>
      <c r="AM735" s="1253" t="str">
        <f t="shared" si="46"/>
        <v/>
      </c>
      <c r="AN735" s="1254"/>
      <c r="AO735" s="1255"/>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92"/>
      <c r="C736" s="1393"/>
      <c r="D736" s="1393"/>
      <c r="E736" s="1393"/>
      <c r="F736" s="1413"/>
      <c r="G736" s="1404"/>
      <c r="H736" s="1405"/>
      <c r="I736" s="1405"/>
      <c r="J736" s="1406"/>
      <c r="K736" s="1277"/>
      <c r="L736" s="1278"/>
      <c r="M736" s="1278"/>
      <c r="N736" s="1279"/>
      <c r="O736" s="1164"/>
      <c r="P736" s="1165"/>
      <c r="Q736" s="1165"/>
      <c r="R736" s="1165"/>
      <c r="S736" s="1166"/>
      <c r="T736" s="1081">
        <f t="shared" si="44"/>
        <v>0</v>
      </c>
      <c r="U736" s="1082"/>
      <c r="V736" s="1082"/>
      <c r="W736" s="1082"/>
      <c r="X736" s="1083"/>
      <c r="Y736" s="1164"/>
      <c r="Z736" s="1165"/>
      <c r="AA736" s="1165"/>
      <c r="AB736" s="1166"/>
      <c r="AC736" s="1081">
        <f t="shared" si="45"/>
        <v>0</v>
      </c>
      <c r="AD736" s="1082"/>
      <c r="AE736" s="1082"/>
      <c r="AF736" s="1082"/>
      <c r="AG736" s="1083"/>
      <c r="AH736" s="1281"/>
      <c r="AI736" s="1282"/>
      <c r="AJ736" s="1282"/>
      <c r="AK736" s="1282"/>
      <c r="AL736" s="1283"/>
      <c r="AM736" s="1253" t="str">
        <f t="shared" si="46"/>
        <v/>
      </c>
      <c r="AN736" s="1254"/>
      <c r="AO736" s="1255"/>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92"/>
      <c r="C737" s="1393"/>
      <c r="D737" s="1393"/>
      <c r="E737" s="1393"/>
      <c r="F737" s="1413"/>
      <c r="G737" s="1404"/>
      <c r="H737" s="1405"/>
      <c r="I737" s="1405"/>
      <c r="J737" s="1406"/>
      <c r="K737" s="1277"/>
      <c r="L737" s="1278"/>
      <c r="M737" s="1278"/>
      <c r="N737" s="1279"/>
      <c r="O737" s="1164"/>
      <c r="P737" s="1165"/>
      <c r="Q737" s="1165"/>
      <c r="R737" s="1165"/>
      <c r="S737" s="1166"/>
      <c r="T737" s="1081">
        <f t="shared" si="34"/>
        <v>0</v>
      </c>
      <c r="U737" s="1082"/>
      <c r="V737" s="1082"/>
      <c r="W737" s="1082"/>
      <c r="X737" s="1083"/>
      <c r="Y737" s="1164"/>
      <c r="Z737" s="1165"/>
      <c r="AA737" s="1165"/>
      <c r="AB737" s="1166"/>
      <c r="AC737" s="1081">
        <f t="shared" si="35"/>
        <v>0</v>
      </c>
      <c r="AD737" s="1082"/>
      <c r="AE737" s="1082"/>
      <c r="AF737" s="1082"/>
      <c r="AG737" s="1083"/>
      <c r="AH737" s="1281"/>
      <c r="AI737" s="1282"/>
      <c r="AJ737" s="1282"/>
      <c r="AK737" s="1282"/>
      <c r="AL737" s="1283"/>
      <c r="AM737" s="1253" t="str">
        <f>IF($AH737&gt;0,($AC737/$AV737), "")</f>
        <v/>
      </c>
      <c r="AN737" s="1254"/>
      <c r="AO737" s="1255"/>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208" t="s">
        <v>877</v>
      </c>
      <c r="C738" s="1209"/>
      <c r="D738" s="1209"/>
      <c r="E738" s="1209"/>
      <c r="F738" s="1210"/>
      <c r="G738" s="1527">
        <f>SUM(G703:J737)</f>
        <v>45</v>
      </c>
      <c r="H738" s="1528"/>
      <c r="I738" s="1528"/>
      <c r="J738" s="1529"/>
      <c r="O738" s="427" t="s">
        <v>876</v>
      </c>
      <c r="P738" s="166"/>
      <c r="Q738" s="166"/>
      <c r="R738" s="166"/>
      <c r="S738" s="839"/>
      <c r="T738" s="1081">
        <f>SUM(T703:X737)</f>
        <v>18750</v>
      </c>
      <c r="U738" s="1082"/>
      <c r="V738" s="1082"/>
      <c r="W738" s="1082"/>
      <c r="X738" s="1083"/>
      <c r="AC738" s="840" t="s">
        <v>1139</v>
      </c>
      <c r="AD738" s="841"/>
      <c r="AE738" s="841"/>
      <c r="AF738" s="841"/>
      <c r="AG738" s="842"/>
      <c r="AH738" s="1256">
        <f>BA738</f>
        <v>0.34444444444444444</v>
      </c>
      <c r="AI738" s="1257"/>
      <c r="AJ738" s="1257"/>
      <c r="AK738" s="1257"/>
      <c r="AL738" s="1258"/>
      <c r="AM738" s="1256">
        <f>IFERROR(BG738,0)</f>
        <v>0.21215894350186432</v>
      </c>
      <c r="AN738" s="1257"/>
      <c r="AO738" s="1258"/>
      <c r="AX738" s="62" t="s">
        <v>875</v>
      </c>
      <c r="AY738" s="451">
        <f>SUM(AY703:AY737)</f>
        <v>45</v>
      </c>
      <c r="AZ738" s="452">
        <f>SUM(AZ703:AZ737)</f>
        <v>1.0000000000000002</v>
      </c>
      <c r="BA738" s="452">
        <f>SUM(BA703:BA737)</f>
        <v>0.34444444444444444</v>
      </c>
      <c r="BB738" s="41"/>
      <c r="BC738" s="41"/>
      <c r="BD738" s="41"/>
      <c r="BE738" s="849">
        <f>SUM(BE703:BE737)</f>
        <v>45</v>
      </c>
      <c r="BF738" s="850">
        <f>SUM(BF703:BF737)</f>
        <v>1.0000000000000002</v>
      </c>
      <c r="BG738" s="850">
        <f>SUM(BG703:BG737)</f>
        <v>0.21215894350186432</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50" t="s">
        <v>2047</v>
      </c>
      <c r="D739" s="1450"/>
      <c r="E739" s="1450"/>
      <c r="F739" s="1450"/>
      <c r="G739" s="1450"/>
      <c r="H739" s="1450"/>
      <c r="I739" s="1450"/>
      <c r="J739" s="1450"/>
      <c r="K739" s="1450"/>
      <c r="L739" s="1450"/>
      <c r="M739" s="1450"/>
      <c r="N739" s="1450"/>
      <c r="O739" s="1450"/>
      <c r="P739" s="1450"/>
      <c r="Q739" s="1450"/>
      <c r="R739" s="1450"/>
      <c r="S739" s="1450"/>
      <c r="T739" s="1450"/>
      <c r="U739" s="1450"/>
      <c r="V739" s="1450"/>
      <c r="W739" s="1450"/>
      <c r="X739" s="1450"/>
      <c r="Y739" s="1450"/>
      <c r="Z739" s="1450"/>
      <c r="AA739" s="1450"/>
      <c r="AB739" s="1450"/>
      <c r="AC739" s="1450"/>
      <c r="AD739" s="1450"/>
      <c r="AE739" s="1450"/>
      <c r="AF739" s="1450"/>
      <c r="AG739" s="1450"/>
      <c r="AH739" s="1450"/>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50"/>
      <c r="D740" s="1450"/>
      <c r="E740" s="1450"/>
      <c r="F740" s="1450"/>
      <c r="G740" s="1450"/>
      <c r="H740" s="1450"/>
      <c r="I740" s="1450"/>
      <c r="J740" s="1450"/>
      <c r="K740" s="1450"/>
      <c r="L740" s="1450"/>
      <c r="M740" s="1450"/>
      <c r="N740" s="1450"/>
      <c r="O740" s="1450"/>
      <c r="P740" s="1450"/>
      <c r="Q740" s="1450"/>
      <c r="R740" s="1450"/>
      <c r="S740" s="1450"/>
      <c r="T740" s="1450"/>
      <c r="U740" s="1450"/>
      <c r="V740" s="1450"/>
      <c r="W740" s="1450"/>
      <c r="X740" s="1450"/>
      <c r="Y740" s="1450"/>
      <c r="Z740" s="1450"/>
      <c r="AA740" s="1450"/>
      <c r="AB740" s="1450"/>
      <c r="AC740" s="1450"/>
      <c r="AD740" s="1450"/>
      <c r="AE740" s="1450"/>
      <c r="AF740" s="1450"/>
      <c r="AG740" s="1450"/>
      <c r="AH740" s="1450"/>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541">
        <f>CQ636</f>
        <v>47</v>
      </c>
      <c r="P741" s="1541"/>
      <c r="Q741" s="1541"/>
      <c r="R741" s="1541"/>
      <c r="S741" s="920"/>
      <c r="T741" s="920"/>
      <c r="U741" s="268" t="s">
        <v>2049</v>
      </c>
      <c r="V741" s="918"/>
      <c r="W741" s="918"/>
      <c r="X741" s="918"/>
      <c r="Y741" s="919"/>
      <c r="Z741" s="919"/>
      <c r="AA741" s="919"/>
      <c r="AB741" s="919"/>
      <c r="AC741" s="918"/>
      <c r="AD741" s="918"/>
      <c r="AE741" s="918"/>
      <c r="AF741" s="918"/>
      <c r="AG741" s="1524">
        <v>36</v>
      </c>
      <c r="AH741" s="1524"/>
      <c r="AI741" s="1524"/>
      <c r="AJ741" s="1524"/>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30" t="str">
        <f>IF(G738&lt;&gt;AG441,"! Total Low-Income Units in the Unit Mix Table above does not match the number of Total Low-Income Units on row #"&amp;TEXT(ROW(AG441),"#"),"")</f>
        <v/>
      </c>
      <c r="D742" s="1130"/>
      <c r="E742" s="1130"/>
      <c r="F742" s="1130"/>
      <c r="G742" s="1130"/>
      <c r="H742" s="1130"/>
      <c r="I742" s="1130"/>
      <c r="J742" s="1130"/>
      <c r="K742" s="1130"/>
      <c r="L742" s="1130"/>
      <c r="M742" s="1130"/>
      <c r="N742" s="1130"/>
      <c r="O742" s="1130"/>
      <c r="P742" s="1130"/>
      <c r="Q742" s="1130"/>
      <c r="R742" s="1130"/>
      <c r="S742" s="1130"/>
      <c r="T742" s="1130"/>
      <c r="U742" s="1130"/>
      <c r="V742" s="1130"/>
      <c r="W742" s="1130"/>
      <c r="X742" s="1130"/>
      <c r="Y742" s="1130"/>
      <c r="Z742" s="1130"/>
      <c r="AA742" s="1130"/>
      <c r="AB742" s="1130"/>
      <c r="AC742" s="1130"/>
      <c r="AD742" s="1130"/>
      <c r="AE742" s="1130"/>
      <c r="AF742" s="1130"/>
      <c r="AG742" s="1130"/>
      <c r="AH742" s="1130"/>
      <c r="AI742" s="1130"/>
      <c r="AJ742" s="1130"/>
      <c r="AK742" s="1130"/>
      <c r="AL742" s="1130"/>
      <c r="AM742" s="1130"/>
      <c r="AN742" s="1130"/>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30"/>
      <c r="D743" s="1130"/>
      <c r="E743" s="1130"/>
      <c r="F743" s="1130"/>
      <c r="G743" s="1130"/>
      <c r="H743" s="1130"/>
      <c r="I743" s="1130"/>
      <c r="J743" s="1130"/>
      <c r="K743" s="1130"/>
      <c r="L743" s="1130"/>
      <c r="M743" s="1130"/>
      <c r="N743" s="1130"/>
      <c r="O743" s="1130"/>
      <c r="P743" s="1130"/>
      <c r="Q743" s="1130"/>
      <c r="R743" s="1130"/>
      <c r="S743" s="1130"/>
      <c r="T743" s="1130"/>
      <c r="U743" s="1130"/>
      <c r="V743" s="1130"/>
      <c r="W743" s="1130"/>
      <c r="X743" s="1130"/>
      <c r="Y743" s="1130"/>
      <c r="Z743" s="1130"/>
      <c r="AA743" s="1130"/>
      <c r="AB743" s="1130"/>
      <c r="AC743" s="1130"/>
      <c r="AD743" s="1130"/>
      <c r="AE743" s="1130"/>
      <c r="AF743" s="1130"/>
      <c r="AG743" s="1130"/>
      <c r="AH743" s="1130"/>
      <c r="AI743" s="1130"/>
      <c r="AJ743" s="1130"/>
      <c r="AK743" s="1130"/>
      <c r="AL743" s="1130"/>
      <c r="AM743" s="1130"/>
      <c r="AN743" s="1130"/>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80" t="s">
        <v>124</v>
      </c>
      <c r="AA744" s="1280"/>
      <c r="AB744" s="1280"/>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2045</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1516</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68" t="s">
        <v>54</v>
      </c>
      <c r="K756" s="1269"/>
      <c r="L756" s="1269"/>
      <c r="M756" s="1269"/>
      <c r="N756" s="1270"/>
      <c r="O756" s="1523" t="s">
        <v>256</v>
      </c>
      <c r="P756" s="1523"/>
      <c r="Q756" s="1523"/>
      <c r="R756" s="1523"/>
      <c r="S756" s="1523"/>
      <c r="T756" s="1259" t="s">
        <v>1981</v>
      </c>
      <c r="U756" s="1260"/>
      <c r="V756" s="1260"/>
      <c r="W756" s="1261"/>
      <c r="X756" s="1268" t="s">
        <v>589</v>
      </c>
      <c r="Y756" s="1269"/>
      <c r="Z756" s="1269"/>
      <c r="AA756" s="1269"/>
      <c r="AB756" s="1270"/>
      <c r="AC756" s="1268" t="s">
        <v>257</v>
      </c>
      <c r="AD756" s="1269"/>
      <c r="AE756" s="1269"/>
      <c r="AF756" s="1269"/>
      <c r="AG756" s="127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71"/>
      <c r="K757" s="1272"/>
      <c r="L757" s="1272"/>
      <c r="M757" s="1272"/>
      <c r="N757" s="1273"/>
      <c r="O757" s="1523"/>
      <c r="P757" s="1523"/>
      <c r="Q757" s="1523"/>
      <c r="R757" s="1523"/>
      <c r="S757" s="1523"/>
      <c r="T757" s="1262"/>
      <c r="U757" s="1263"/>
      <c r="V757" s="1263"/>
      <c r="W757" s="1264"/>
      <c r="X757" s="1271"/>
      <c r="Y757" s="1272"/>
      <c r="Z757" s="1272"/>
      <c r="AA757" s="1272"/>
      <c r="AB757" s="1273"/>
      <c r="AC757" s="1271"/>
      <c r="AD757" s="1272"/>
      <c r="AE757" s="1272"/>
      <c r="AF757" s="1272"/>
      <c r="AG757" s="127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71"/>
      <c r="K758" s="1272"/>
      <c r="L758" s="1272"/>
      <c r="M758" s="1272"/>
      <c r="N758" s="1273"/>
      <c r="O758" s="1523"/>
      <c r="P758" s="1523"/>
      <c r="Q758" s="1523"/>
      <c r="R758" s="1523"/>
      <c r="S758" s="1523"/>
      <c r="T758" s="1262"/>
      <c r="U758" s="1263"/>
      <c r="V758" s="1263"/>
      <c r="W758" s="1264"/>
      <c r="X758" s="1271"/>
      <c r="Y758" s="1272"/>
      <c r="Z758" s="1272"/>
      <c r="AA758" s="1272"/>
      <c r="AB758" s="1273"/>
      <c r="AC758" s="1271"/>
      <c r="AD758" s="1272"/>
      <c r="AE758" s="1272"/>
      <c r="AF758" s="1272"/>
      <c r="AG758" s="127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74"/>
      <c r="K759" s="1275"/>
      <c r="L759" s="1275"/>
      <c r="M759" s="1275"/>
      <c r="N759" s="1276"/>
      <c r="O759" s="1523"/>
      <c r="P759" s="1523"/>
      <c r="Q759" s="1523"/>
      <c r="R759" s="1523"/>
      <c r="S759" s="1523"/>
      <c r="T759" s="1265"/>
      <c r="U759" s="1266"/>
      <c r="V759" s="1266"/>
      <c r="W759" s="1267"/>
      <c r="X759" s="1274"/>
      <c r="Y759" s="1275"/>
      <c r="Z759" s="1275"/>
      <c r="AA759" s="1275"/>
      <c r="AB759" s="1276"/>
      <c r="AC759" s="1274"/>
      <c r="AD759" s="1275"/>
      <c r="AE759" s="1275"/>
      <c r="AF759" s="1275"/>
      <c r="AG759" s="127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92" t="s">
        <v>781</v>
      </c>
      <c r="K760" s="1393"/>
      <c r="L760" s="1393"/>
      <c r="M760" s="1393"/>
      <c r="N760" s="1413"/>
      <c r="O760" s="1420">
        <v>1</v>
      </c>
      <c r="P760" s="1420"/>
      <c r="Q760" s="1420"/>
      <c r="R760" s="1420"/>
      <c r="S760" s="1420"/>
      <c r="T760" s="1277"/>
      <c r="U760" s="1278"/>
      <c r="V760" s="1278"/>
      <c r="W760" s="1279"/>
      <c r="X760" s="1164"/>
      <c r="Y760" s="1165"/>
      <c r="Z760" s="1165"/>
      <c r="AA760" s="1165"/>
      <c r="AB760" s="1166"/>
      <c r="AC760" s="1081">
        <f>X760*O760</f>
        <v>0</v>
      </c>
      <c r="AD760" s="1082"/>
      <c r="AE760" s="1082"/>
      <c r="AF760" s="1082"/>
      <c r="AG760" s="108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92"/>
      <c r="K761" s="1393"/>
      <c r="L761" s="1393"/>
      <c r="M761" s="1393"/>
      <c r="N761" s="1413"/>
      <c r="O761" s="1420"/>
      <c r="P761" s="1420"/>
      <c r="Q761" s="1420"/>
      <c r="R761" s="1420"/>
      <c r="S761" s="1420"/>
      <c r="T761" s="1277"/>
      <c r="U761" s="1278"/>
      <c r="V761" s="1278"/>
      <c r="W761" s="1279"/>
      <c r="X761" s="1164"/>
      <c r="Y761" s="1165"/>
      <c r="Z761" s="1165"/>
      <c r="AA761" s="1165"/>
      <c r="AB761" s="1166"/>
      <c r="AC761" s="1081">
        <f>X761*O761</f>
        <v>0</v>
      </c>
      <c r="AD761" s="1082"/>
      <c r="AE761" s="1082"/>
      <c r="AF761" s="1082"/>
      <c r="AG761" s="108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92"/>
      <c r="K762" s="1393"/>
      <c r="L762" s="1393"/>
      <c r="M762" s="1393"/>
      <c r="N762" s="1413"/>
      <c r="O762" s="1420"/>
      <c r="P762" s="1420"/>
      <c r="Q762" s="1420"/>
      <c r="R762" s="1420"/>
      <c r="S762" s="1420"/>
      <c r="T762" s="1277"/>
      <c r="U762" s="1278"/>
      <c r="V762" s="1278"/>
      <c r="W762" s="1279"/>
      <c r="X762" s="1164"/>
      <c r="Y762" s="1165"/>
      <c r="Z762" s="1165"/>
      <c r="AA762" s="1165"/>
      <c r="AB762" s="1166"/>
      <c r="AC762" s="1081">
        <f>X762*O762</f>
        <v>0</v>
      </c>
      <c r="AD762" s="1082"/>
      <c r="AE762" s="1082"/>
      <c r="AF762" s="1082"/>
      <c r="AG762" s="108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92"/>
      <c r="K763" s="1393"/>
      <c r="L763" s="1393"/>
      <c r="M763" s="1393"/>
      <c r="N763" s="1413"/>
      <c r="O763" s="1420"/>
      <c r="P763" s="1420"/>
      <c r="Q763" s="1420"/>
      <c r="R763" s="1420"/>
      <c r="S763" s="1420"/>
      <c r="T763" s="1277"/>
      <c r="U763" s="1278"/>
      <c r="V763" s="1278"/>
      <c r="W763" s="1279"/>
      <c r="X763" s="1164"/>
      <c r="Y763" s="1165"/>
      <c r="Z763" s="1165"/>
      <c r="AA763" s="1165"/>
      <c r="AB763" s="1166"/>
      <c r="AC763" s="1081">
        <f>X763*O763</f>
        <v>0</v>
      </c>
      <c r="AD763" s="1082"/>
      <c r="AE763" s="1082"/>
      <c r="AF763" s="1082"/>
      <c r="AG763" s="108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208" t="s">
        <v>877</v>
      </c>
      <c r="K764" s="1209"/>
      <c r="L764" s="1209"/>
      <c r="M764" s="1209"/>
      <c r="N764" s="1210"/>
      <c r="O764" s="1291">
        <f>SUM(O760:S763)</f>
        <v>1</v>
      </c>
      <c r="P764" s="1292"/>
      <c r="Q764" s="1292"/>
      <c r="R764" s="1292"/>
      <c r="S764" s="1293"/>
      <c r="X764" s="1208" t="s">
        <v>876</v>
      </c>
      <c r="Y764" s="1209"/>
      <c r="Z764" s="1209"/>
      <c r="AA764" s="1209"/>
      <c r="AB764" s="1210"/>
      <c r="AC764" s="1081">
        <f>SUM(AC760:AG763)</f>
        <v>0</v>
      </c>
      <c r="AD764" s="1082"/>
      <c r="AE764" s="1082"/>
      <c r="AF764" s="1082"/>
      <c r="AG764" s="108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40" t="s">
        <v>482</v>
      </c>
      <c r="K766" s="1140"/>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68" t="s">
        <v>54</v>
      </c>
      <c r="K770" s="1269"/>
      <c r="L770" s="1269"/>
      <c r="M770" s="1269"/>
      <c r="N770" s="1270"/>
      <c r="O770" s="1523" t="s">
        <v>256</v>
      </c>
      <c r="P770" s="1523"/>
      <c r="Q770" s="1523"/>
      <c r="R770" s="1523"/>
      <c r="S770" s="1523"/>
      <c r="T770" s="1259" t="s">
        <v>1981</v>
      </c>
      <c r="U770" s="1260"/>
      <c r="V770" s="1260"/>
      <c r="W770" s="1261"/>
      <c r="X770" s="1268" t="s">
        <v>589</v>
      </c>
      <c r="Y770" s="1269"/>
      <c r="Z770" s="1269"/>
      <c r="AA770" s="1269"/>
      <c r="AB770" s="1270"/>
      <c r="AC770" s="1268" t="s">
        <v>257</v>
      </c>
      <c r="AD770" s="1269"/>
      <c r="AE770" s="1269"/>
      <c r="AF770" s="1269"/>
      <c r="AG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71"/>
      <c r="K771" s="1272"/>
      <c r="L771" s="1272"/>
      <c r="M771" s="1272"/>
      <c r="N771" s="1273"/>
      <c r="O771" s="1523"/>
      <c r="P771" s="1523"/>
      <c r="Q771" s="1523"/>
      <c r="R771" s="1523"/>
      <c r="S771" s="1523"/>
      <c r="T771" s="1262"/>
      <c r="U771" s="1263"/>
      <c r="V771" s="1263"/>
      <c r="W771" s="1264"/>
      <c r="X771" s="1271"/>
      <c r="Y771" s="1272"/>
      <c r="Z771" s="1272"/>
      <c r="AA771" s="1272"/>
      <c r="AB771" s="1273"/>
      <c r="AC771" s="1271"/>
      <c r="AD771" s="1272"/>
      <c r="AE771" s="1272"/>
      <c r="AF771" s="1272"/>
      <c r="AG771" s="127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71"/>
      <c r="K772" s="1272"/>
      <c r="L772" s="1272"/>
      <c r="M772" s="1272"/>
      <c r="N772" s="1273"/>
      <c r="O772" s="1523"/>
      <c r="P772" s="1523"/>
      <c r="Q772" s="1523"/>
      <c r="R772" s="1523"/>
      <c r="S772" s="1523"/>
      <c r="T772" s="1262"/>
      <c r="U772" s="1263"/>
      <c r="V772" s="1263"/>
      <c r="W772" s="1264"/>
      <c r="X772" s="1271"/>
      <c r="Y772" s="1272"/>
      <c r="Z772" s="1272"/>
      <c r="AA772" s="1272"/>
      <c r="AB772" s="1273"/>
      <c r="AC772" s="1271"/>
      <c r="AD772" s="1272"/>
      <c r="AE772" s="1272"/>
      <c r="AF772" s="1272"/>
      <c r="AG772" s="127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74"/>
      <c r="K773" s="1275"/>
      <c r="L773" s="1275"/>
      <c r="M773" s="1275"/>
      <c r="N773" s="1276"/>
      <c r="O773" s="1523"/>
      <c r="P773" s="1523"/>
      <c r="Q773" s="1523"/>
      <c r="R773" s="1523"/>
      <c r="S773" s="1523"/>
      <c r="T773" s="1265"/>
      <c r="U773" s="1266"/>
      <c r="V773" s="1266"/>
      <c r="W773" s="1267"/>
      <c r="X773" s="1274"/>
      <c r="Y773" s="1275"/>
      <c r="Z773" s="1275"/>
      <c r="AA773" s="1275"/>
      <c r="AB773" s="1276"/>
      <c r="AC773" s="1274"/>
      <c r="AD773" s="1275"/>
      <c r="AE773" s="1275"/>
      <c r="AF773" s="1275"/>
      <c r="AG773" s="127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92"/>
      <c r="K774" s="1393"/>
      <c r="L774" s="1393"/>
      <c r="M774" s="1393"/>
      <c r="N774" s="1413"/>
      <c r="O774" s="1420"/>
      <c r="P774" s="1420"/>
      <c r="Q774" s="1420"/>
      <c r="R774" s="1420"/>
      <c r="S774" s="1420"/>
      <c r="T774" s="1277"/>
      <c r="U774" s="1278"/>
      <c r="V774" s="1278"/>
      <c r="W774" s="1279"/>
      <c r="X774" s="1164"/>
      <c r="Y774" s="1165"/>
      <c r="Z774" s="1165"/>
      <c r="AA774" s="1165"/>
      <c r="AB774" s="1166"/>
      <c r="AC774" s="1081">
        <f t="shared" ref="AC774:AC783" si="53">X774*O774</f>
        <v>0</v>
      </c>
      <c r="AD774" s="1082"/>
      <c r="AE774" s="1082"/>
      <c r="AF774" s="1082"/>
      <c r="AG774" s="108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92"/>
      <c r="K775" s="1393"/>
      <c r="L775" s="1393"/>
      <c r="M775" s="1393"/>
      <c r="N775" s="1413"/>
      <c r="O775" s="1420"/>
      <c r="P775" s="1420"/>
      <c r="Q775" s="1420"/>
      <c r="R775" s="1420"/>
      <c r="S775" s="1420"/>
      <c r="T775" s="1277"/>
      <c r="U775" s="1278"/>
      <c r="V775" s="1278"/>
      <c r="W775" s="1279"/>
      <c r="X775" s="1164"/>
      <c r="Y775" s="1165"/>
      <c r="Z775" s="1165"/>
      <c r="AA775" s="1165"/>
      <c r="AB775" s="1166"/>
      <c r="AC775" s="1081">
        <f t="shared" si="53"/>
        <v>0</v>
      </c>
      <c r="AD775" s="1082"/>
      <c r="AE775" s="1082"/>
      <c r="AF775" s="1082"/>
      <c r="AG775" s="108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92"/>
      <c r="K776" s="1393"/>
      <c r="L776" s="1393"/>
      <c r="M776" s="1393"/>
      <c r="N776" s="1413"/>
      <c r="O776" s="1420"/>
      <c r="P776" s="1420"/>
      <c r="Q776" s="1420"/>
      <c r="R776" s="1420"/>
      <c r="S776" s="1420"/>
      <c r="T776" s="1277"/>
      <c r="U776" s="1278"/>
      <c r="V776" s="1278"/>
      <c r="W776" s="1279"/>
      <c r="X776" s="1164"/>
      <c r="Y776" s="1165"/>
      <c r="Z776" s="1165"/>
      <c r="AA776" s="1165"/>
      <c r="AB776" s="1166"/>
      <c r="AC776" s="1081">
        <f t="shared" si="53"/>
        <v>0</v>
      </c>
      <c r="AD776" s="1082"/>
      <c r="AE776" s="1082"/>
      <c r="AF776" s="1082"/>
      <c r="AG776" s="108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92"/>
      <c r="K777" s="1393"/>
      <c r="L777" s="1393"/>
      <c r="M777" s="1393"/>
      <c r="N777" s="1413"/>
      <c r="O777" s="1420"/>
      <c r="P777" s="1420"/>
      <c r="Q777" s="1420"/>
      <c r="R777" s="1420"/>
      <c r="S777" s="1420"/>
      <c r="T777" s="1277"/>
      <c r="U777" s="1278"/>
      <c r="V777" s="1278"/>
      <c r="W777" s="1279"/>
      <c r="X777" s="1164"/>
      <c r="Y777" s="1165"/>
      <c r="Z777" s="1165"/>
      <c r="AA777" s="1165"/>
      <c r="AB777" s="1166"/>
      <c r="AC777" s="1081">
        <f t="shared" si="53"/>
        <v>0</v>
      </c>
      <c r="AD777" s="1082"/>
      <c r="AE777" s="1082"/>
      <c r="AF777" s="1082"/>
      <c r="AG777" s="108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92"/>
      <c r="K778" s="1393"/>
      <c r="L778" s="1393"/>
      <c r="M778" s="1393"/>
      <c r="N778" s="1413"/>
      <c r="O778" s="1420"/>
      <c r="P778" s="1420"/>
      <c r="Q778" s="1420"/>
      <c r="R778" s="1420"/>
      <c r="S778" s="1420"/>
      <c r="T778" s="1277"/>
      <c r="U778" s="1278"/>
      <c r="V778" s="1278"/>
      <c r="W778" s="1279"/>
      <c r="X778" s="1164"/>
      <c r="Y778" s="1165"/>
      <c r="Z778" s="1165"/>
      <c r="AA778" s="1165"/>
      <c r="AB778" s="1166"/>
      <c r="AC778" s="1081">
        <f t="shared" si="53"/>
        <v>0</v>
      </c>
      <c r="AD778" s="1082"/>
      <c r="AE778" s="1082"/>
      <c r="AF778" s="1082"/>
      <c r="AG778" s="108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92"/>
      <c r="K779" s="1393"/>
      <c r="L779" s="1393"/>
      <c r="M779" s="1393"/>
      <c r="N779" s="1413"/>
      <c r="O779" s="1420"/>
      <c r="P779" s="1420"/>
      <c r="Q779" s="1420"/>
      <c r="R779" s="1420"/>
      <c r="S779" s="1420"/>
      <c r="T779" s="1277"/>
      <c r="U779" s="1278"/>
      <c r="V779" s="1278"/>
      <c r="W779" s="1279"/>
      <c r="X779" s="1164"/>
      <c r="Y779" s="1165"/>
      <c r="Z779" s="1165"/>
      <c r="AA779" s="1165"/>
      <c r="AB779" s="1166"/>
      <c r="AC779" s="1081">
        <f t="shared" si="53"/>
        <v>0</v>
      </c>
      <c r="AD779" s="1082"/>
      <c r="AE779" s="1082"/>
      <c r="AF779" s="1082"/>
      <c r="AG779" s="108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92"/>
      <c r="K780" s="1393"/>
      <c r="L780" s="1393"/>
      <c r="M780" s="1393"/>
      <c r="N780" s="1413"/>
      <c r="O780" s="1420"/>
      <c r="P780" s="1420"/>
      <c r="Q780" s="1420"/>
      <c r="R780" s="1420"/>
      <c r="S780" s="1420"/>
      <c r="T780" s="1277"/>
      <c r="U780" s="1278"/>
      <c r="V780" s="1278"/>
      <c r="W780" s="1279"/>
      <c r="X780" s="1164"/>
      <c r="Y780" s="1165"/>
      <c r="Z780" s="1165"/>
      <c r="AA780" s="1165"/>
      <c r="AB780" s="1166"/>
      <c r="AC780" s="1081">
        <f t="shared" si="53"/>
        <v>0</v>
      </c>
      <c r="AD780" s="1082"/>
      <c r="AE780" s="1082"/>
      <c r="AF780" s="1082"/>
      <c r="AG780" s="108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92"/>
      <c r="K781" s="1393"/>
      <c r="L781" s="1393"/>
      <c r="M781" s="1393"/>
      <c r="N781" s="1413"/>
      <c r="O781" s="1420"/>
      <c r="P781" s="1420"/>
      <c r="Q781" s="1420"/>
      <c r="R781" s="1420"/>
      <c r="S781" s="1420"/>
      <c r="T781" s="1277"/>
      <c r="U781" s="1278"/>
      <c r="V781" s="1278"/>
      <c r="W781" s="1279"/>
      <c r="X781" s="1164"/>
      <c r="Y781" s="1165"/>
      <c r="Z781" s="1165"/>
      <c r="AA781" s="1165"/>
      <c r="AB781" s="1166"/>
      <c r="AC781" s="1081">
        <f t="shared" si="53"/>
        <v>0</v>
      </c>
      <c r="AD781" s="1082"/>
      <c r="AE781" s="1082"/>
      <c r="AF781" s="1082"/>
      <c r="AG781" s="108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92"/>
      <c r="K782" s="1393"/>
      <c r="L782" s="1393"/>
      <c r="M782" s="1393"/>
      <c r="N782" s="1413"/>
      <c r="O782" s="1420"/>
      <c r="P782" s="1420"/>
      <c r="Q782" s="1420"/>
      <c r="R782" s="1420"/>
      <c r="S782" s="1420"/>
      <c r="T782" s="1277"/>
      <c r="U782" s="1278"/>
      <c r="V782" s="1278"/>
      <c r="W782" s="1279"/>
      <c r="X782" s="1164"/>
      <c r="Y782" s="1165"/>
      <c r="Z782" s="1165"/>
      <c r="AA782" s="1165"/>
      <c r="AB782" s="1166"/>
      <c r="AC782" s="1081">
        <f t="shared" si="53"/>
        <v>0</v>
      </c>
      <c r="AD782" s="1082"/>
      <c r="AE782" s="1082"/>
      <c r="AF782" s="1082"/>
      <c r="AG782" s="108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92"/>
      <c r="K783" s="1393"/>
      <c r="L783" s="1393"/>
      <c r="M783" s="1393"/>
      <c r="N783" s="1413"/>
      <c r="O783" s="1420"/>
      <c r="P783" s="1420"/>
      <c r="Q783" s="1420"/>
      <c r="R783" s="1420"/>
      <c r="S783" s="1420"/>
      <c r="T783" s="1277"/>
      <c r="U783" s="1278"/>
      <c r="V783" s="1278"/>
      <c r="W783" s="1279"/>
      <c r="X783" s="1164"/>
      <c r="Y783" s="1165"/>
      <c r="Z783" s="1165"/>
      <c r="AA783" s="1165"/>
      <c r="AB783" s="1166"/>
      <c r="AC783" s="1081">
        <f t="shared" si="53"/>
        <v>0</v>
      </c>
      <c r="AD783" s="1082"/>
      <c r="AE783" s="1082"/>
      <c r="AF783" s="1082"/>
      <c r="AG783" s="108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208" t="s">
        <v>877</v>
      </c>
      <c r="K784" s="1209"/>
      <c r="L784" s="1209"/>
      <c r="M784" s="1209"/>
      <c r="N784" s="1210"/>
      <c r="O784" s="1541">
        <f>SUM(O774:S783)</f>
        <v>0</v>
      </c>
      <c r="P784" s="1541"/>
      <c r="Q784" s="1541"/>
      <c r="R784" s="1541"/>
      <c r="S784" s="1541"/>
      <c r="X784" s="427" t="s">
        <v>876</v>
      </c>
      <c r="Y784" s="166"/>
      <c r="Z784" s="166"/>
      <c r="AA784" s="166"/>
      <c r="AB784" s="839"/>
      <c r="AC784" s="1081">
        <f>SUM(AC774:AG783)</f>
        <v>0</v>
      </c>
      <c r="AD784" s="1082"/>
      <c r="AE784" s="1082"/>
      <c r="AF784" s="1082"/>
      <c r="AG784" s="108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30" t="str">
        <f>IF(O784&lt;&gt;AG439,"! Total market rate units in the Unit Mix Table above does not match the number of market rate units on row #"&amp;TEXT(ROW(AG439),"#"),"")</f>
        <v/>
      </c>
      <c r="D785" s="1130"/>
      <c r="E785" s="1130"/>
      <c r="F785" s="1130"/>
      <c r="G785" s="1130"/>
      <c r="H785" s="1130"/>
      <c r="I785" s="1130"/>
      <c r="J785" s="1130"/>
      <c r="K785" s="1130"/>
      <c r="L785" s="1130"/>
      <c r="M785" s="1130"/>
      <c r="N785" s="1130"/>
      <c r="O785" s="1130"/>
      <c r="P785" s="1130"/>
      <c r="Q785" s="1130"/>
      <c r="R785" s="1130"/>
      <c r="S785" s="1130"/>
      <c r="T785" s="1130"/>
      <c r="U785" s="1130"/>
      <c r="V785" s="1130"/>
      <c r="W785" s="1130"/>
      <c r="X785" s="1130"/>
      <c r="Y785" s="1130"/>
      <c r="Z785" s="1130"/>
      <c r="AA785" s="1130"/>
      <c r="AB785" s="1130"/>
      <c r="AC785" s="1130"/>
      <c r="AD785" s="1130"/>
      <c r="AE785" s="1130"/>
      <c r="AF785" s="1130"/>
      <c r="AG785" s="1130"/>
      <c r="AH785" s="1130"/>
      <c r="AI785" s="1130"/>
      <c r="AJ785" s="1130"/>
      <c r="AK785" s="1130"/>
      <c r="AL785" s="1130"/>
      <c r="AM785" s="1130"/>
      <c r="AN785" s="113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30"/>
      <c r="D786" s="1130"/>
      <c r="E786" s="1130"/>
      <c r="F786" s="1130"/>
      <c r="G786" s="1130"/>
      <c r="H786" s="1130"/>
      <c r="I786" s="1130"/>
      <c r="J786" s="1130"/>
      <c r="K786" s="1130"/>
      <c r="L786" s="1130"/>
      <c r="M786" s="1130"/>
      <c r="N786" s="1130"/>
      <c r="O786" s="1130"/>
      <c r="P786" s="1130"/>
      <c r="Q786" s="1130"/>
      <c r="R786" s="1130"/>
      <c r="S786" s="1130"/>
      <c r="T786" s="1130"/>
      <c r="U786" s="1130"/>
      <c r="V786" s="1130"/>
      <c r="W786" s="1130"/>
      <c r="X786" s="1130"/>
      <c r="Y786" s="1130"/>
      <c r="Z786" s="1130"/>
      <c r="AA786" s="1130"/>
      <c r="AB786" s="1130"/>
      <c r="AC786" s="1130"/>
      <c r="AD786" s="1130"/>
      <c r="AE786" s="1130"/>
      <c r="AF786" s="1130"/>
      <c r="AG786" s="1130"/>
      <c r="AH786" s="1130"/>
      <c r="AI786" s="1130"/>
      <c r="AJ786" s="1130"/>
      <c r="AK786" s="1130"/>
      <c r="AL786" s="1130"/>
      <c r="AM786" s="1130"/>
      <c r="AN786" s="113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114">
        <f>T738+AC764+AC784</f>
        <v>18750</v>
      </c>
      <c r="Z787" s="1114"/>
      <c r="AA787" s="1114"/>
      <c r="AB787" s="1114"/>
      <c r="AC787" s="111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114">
        <f>(T738+AC764+AC784)*12</f>
        <v>225000</v>
      </c>
      <c r="Z788" s="1114"/>
      <c r="AA788" s="1114"/>
      <c r="AB788" s="1114"/>
      <c r="AC788" s="111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25"/>
      <c r="AA793" s="1418"/>
      <c r="AB793" s="1418"/>
      <c r="AC793" s="1418"/>
      <c r="AD793" s="1418"/>
      <c r="AE793" s="14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17">
        <v>0</v>
      </c>
      <c r="AA794" s="1418"/>
      <c r="AB794" s="1418"/>
      <c r="AC794" s="1418"/>
      <c r="AD794" s="1418"/>
      <c r="AE794" s="14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14">
        <v>0</v>
      </c>
      <c r="AA795" s="1415"/>
      <c r="AB795" s="1415"/>
      <c r="AC795" s="1415"/>
      <c r="AD795" s="1415"/>
      <c r="AE795" s="141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75">
        <f>'Subsidy Contract Calculation'!I40</f>
        <v>0</v>
      </c>
      <c r="AA796" s="1576"/>
      <c r="AB796" s="1576"/>
      <c r="AC796" s="1576"/>
      <c r="AD796" s="1576"/>
      <c r="AE796" s="157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115">
        <v>0</v>
      </c>
      <c r="AA800" s="1116"/>
      <c r="AB800" s="1116"/>
      <c r="AC800" s="1116"/>
      <c r="AD800" s="1116"/>
      <c r="AE800" s="111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115">
        <v>6992</v>
      </c>
      <c r="AA801" s="1116"/>
      <c r="AB801" s="1116"/>
      <c r="AC801" s="1116"/>
      <c r="AD801" s="1116"/>
      <c r="AE801" s="111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115"/>
      <c r="AA802" s="1116"/>
      <c r="AB802" s="1116"/>
      <c r="AC802" s="1116"/>
      <c r="AD802" s="1116"/>
      <c r="AE802" s="111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118" t="s">
        <v>562</v>
      </c>
      <c r="Q803" s="1119"/>
      <c r="R803" s="1119"/>
      <c r="S803" s="1119"/>
      <c r="T803" s="1119"/>
      <c r="U803" s="1119"/>
      <c r="V803" s="1119"/>
      <c r="W803" s="1119"/>
      <c r="X803" s="1119"/>
      <c r="Y803" s="1120"/>
      <c r="Z803" s="1115"/>
      <c r="AA803" s="1116"/>
      <c r="AB803" s="1116"/>
      <c r="AC803" s="1116"/>
      <c r="AD803" s="1116"/>
      <c r="AE803" s="111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19">
        <f>SUM(Z800:AE803)</f>
        <v>6992</v>
      </c>
      <c r="AA804" s="1220"/>
      <c r="AB804" s="1220"/>
      <c r="AC804" s="1220"/>
      <c r="AD804" s="1220"/>
      <c r="AE804" s="122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19">
        <f>Z804+Y788+Z796</f>
        <v>231992</v>
      </c>
      <c r="AA805" s="1220"/>
      <c r="AB805" s="1220"/>
      <c r="AC805" s="1220"/>
      <c r="AD805" s="1220"/>
      <c r="AE805" s="122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73" t="s">
        <v>878</v>
      </c>
      <c r="N810" s="1573"/>
      <c r="O810" s="1573"/>
      <c r="P810" s="1574"/>
      <c r="Q810" s="1526" t="s">
        <v>263</v>
      </c>
      <c r="R810" s="1526"/>
      <c r="S810" s="1526"/>
      <c r="T810" s="1526"/>
      <c r="U810" s="1526" t="s">
        <v>264</v>
      </c>
      <c r="V810" s="1526"/>
      <c r="W810" s="1526"/>
      <c r="X810" s="1526"/>
      <c r="Y810" s="1526" t="s">
        <v>265</v>
      </c>
      <c r="Z810" s="1526"/>
      <c r="AA810" s="1526"/>
      <c r="AB810" s="1526"/>
      <c r="AC810" s="1526" t="s">
        <v>31</v>
      </c>
      <c r="AD810" s="1526"/>
      <c r="AE810" s="1526"/>
      <c r="AF810" s="1526"/>
      <c r="AG810" s="1530" t="s">
        <v>563</v>
      </c>
      <c r="AH810" s="1530"/>
      <c r="AI810" s="1530"/>
      <c r="AJ810" s="153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67"/>
      <c r="N811" s="1567"/>
      <c r="O811" s="1567"/>
      <c r="P811" s="1568"/>
      <c r="Q811" s="1526"/>
      <c r="R811" s="1526"/>
      <c r="S811" s="1526"/>
      <c r="T811" s="1526"/>
      <c r="U811" s="1526"/>
      <c r="V811" s="1526"/>
      <c r="W811" s="1526"/>
      <c r="X811" s="1526"/>
      <c r="Y811" s="1526"/>
      <c r="Z811" s="1526"/>
      <c r="AA811" s="1526"/>
      <c r="AB811" s="1526"/>
      <c r="AC811" s="1526"/>
      <c r="AD811" s="1526"/>
      <c r="AE811" s="1526"/>
      <c r="AF811" s="1526"/>
      <c r="AG811" s="1530"/>
      <c r="AH811" s="1530"/>
      <c r="AI811" s="1530"/>
      <c r="AJ811" s="153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8" t="s">
        <v>694</v>
      </c>
      <c r="D812" s="1088"/>
      <c r="E812" s="1088"/>
      <c r="F812" s="1088"/>
      <c r="G812" s="1088"/>
      <c r="H812" s="1088"/>
      <c r="I812" s="54"/>
      <c r="J812" s="54"/>
      <c r="K812" s="54"/>
      <c r="L812" s="55"/>
      <c r="M812" s="1101"/>
      <c r="N812" s="1101"/>
      <c r="O812" s="1101"/>
      <c r="P812" s="1101"/>
      <c r="Q812" s="1101"/>
      <c r="R812" s="1101"/>
      <c r="S812" s="1101"/>
      <c r="T812" s="1101"/>
      <c r="U812" s="1101"/>
      <c r="V812" s="1101"/>
      <c r="W812" s="1101"/>
      <c r="X812" s="1101"/>
      <c r="Y812" s="1101"/>
      <c r="Z812" s="1101"/>
      <c r="AA812" s="1101"/>
      <c r="AB812" s="1101"/>
      <c r="AC812" s="1228"/>
      <c r="AD812" s="1229"/>
      <c r="AE812" s="1229"/>
      <c r="AF812" s="1230"/>
      <c r="AG812" s="1228"/>
      <c r="AH812" s="1229"/>
      <c r="AI812" s="1229"/>
      <c r="AJ812" s="123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87" t="s">
        <v>695</v>
      </c>
      <c r="D813" s="1355"/>
      <c r="E813" s="1355"/>
      <c r="F813" s="1355"/>
      <c r="G813" s="1355"/>
      <c r="H813" s="1355"/>
      <c r="I813" s="9"/>
      <c r="J813" s="9"/>
      <c r="K813" s="9"/>
      <c r="L813" s="52"/>
      <c r="M813" s="1101"/>
      <c r="N813" s="1101"/>
      <c r="O813" s="1101"/>
      <c r="P813" s="1101"/>
      <c r="Q813" s="1101"/>
      <c r="R813" s="1101"/>
      <c r="S813" s="1101"/>
      <c r="T813" s="1101"/>
      <c r="U813" s="1101"/>
      <c r="V813" s="1101"/>
      <c r="W813" s="1101"/>
      <c r="X813" s="1101"/>
      <c r="Y813" s="1101"/>
      <c r="Z813" s="1101"/>
      <c r="AA813" s="1101"/>
      <c r="AB813" s="1101"/>
      <c r="AC813" s="1228"/>
      <c r="AD813" s="1229"/>
      <c r="AE813" s="1229"/>
      <c r="AF813" s="1230"/>
      <c r="AG813" s="1228"/>
      <c r="AH813" s="1229"/>
      <c r="AI813" s="1229"/>
      <c r="AJ813" s="123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87" t="s">
        <v>71</v>
      </c>
      <c r="D814" s="1355"/>
      <c r="E814" s="1355"/>
      <c r="F814" s="1355"/>
      <c r="G814" s="1355"/>
      <c r="H814" s="1355"/>
      <c r="I814" s="66"/>
      <c r="J814" s="66"/>
      <c r="K814" s="66"/>
      <c r="L814" s="67"/>
      <c r="M814" s="1101"/>
      <c r="N814" s="1101"/>
      <c r="O814" s="1101"/>
      <c r="P814" s="1101"/>
      <c r="Q814" s="1101"/>
      <c r="R814" s="1101"/>
      <c r="S814" s="1101"/>
      <c r="T814" s="1101"/>
      <c r="U814" s="1101"/>
      <c r="V814" s="1101"/>
      <c r="W814" s="1101"/>
      <c r="X814" s="1101"/>
      <c r="Y814" s="1101"/>
      <c r="Z814" s="1101"/>
      <c r="AA814" s="1101"/>
      <c r="AB814" s="1101"/>
      <c r="AC814" s="1228"/>
      <c r="AD814" s="1229"/>
      <c r="AE814" s="1229"/>
      <c r="AF814" s="1230"/>
      <c r="AG814" s="1228"/>
      <c r="AH814" s="1229"/>
      <c r="AI814" s="1229"/>
      <c r="AJ814" s="123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87" t="s">
        <v>178</v>
      </c>
      <c r="D815" s="1355"/>
      <c r="E815" s="1355"/>
      <c r="F815" s="1355"/>
      <c r="G815" s="1355"/>
      <c r="H815" s="1355"/>
      <c r="I815" s="66"/>
      <c r="J815" s="66"/>
      <c r="K815" s="66"/>
      <c r="L815" s="67"/>
      <c r="M815" s="1101"/>
      <c r="N815" s="1101"/>
      <c r="O815" s="1101"/>
      <c r="P815" s="1101"/>
      <c r="Q815" s="1101"/>
      <c r="R815" s="1101"/>
      <c r="S815" s="1101"/>
      <c r="T815" s="1101"/>
      <c r="U815" s="1101"/>
      <c r="V815" s="1101"/>
      <c r="W815" s="1101"/>
      <c r="X815" s="1101"/>
      <c r="Y815" s="1101"/>
      <c r="Z815" s="1101"/>
      <c r="AA815" s="1101"/>
      <c r="AB815" s="1101"/>
      <c r="AC815" s="1228"/>
      <c r="AD815" s="1229"/>
      <c r="AE815" s="1229"/>
      <c r="AF815" s="1230"/>
      <c r="AG815" s="1228"/>
      <c r="AH815" s="1229"/>
      <c r="AI815" s="1229"/>
      <c r="AJ815" s="123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87" t="s">
        <v>790</v>
      </c>
      <c r="D816" s="1355"/>
      <c r="E816" s="1355"/>
      <c r="F816" s="1355"/>
      <c r="G816" s="1355"/>
      <c r="H816" s="1355"/>
      <c r="I816" s="66"/>
      <c r="J816" s="66"/>
      <c r="K816" s="66"/>
      <c r="L816" s="67"/>
      <c r="M816" s="1101"/>
      <c r="N816" s="1101"/>
      <c r="O816" s="1101"/>
      <c r="P816" s="1101"/>
      <c r="Q816" s="1101"/>
      <c r="R816" s="1101"/>
      <c r="S816" s="1101"/>
      <c r="T816" s="1101"/>
      <c r="U816" s="1101"/>
      <c r="V816" s="1101"/>
      <c r="W816" s="1101"/>
      <c r="X816" s="1101"/>
      <c r="Y816" s="1101"/>
      <c r="Z816" s="1101"/>
      <c r="AA816" s="1101"/>
      <c r="AB816" s="1101"/>
      <c r="AC816" s="1228"/>
      <c r="AD816" s="1229"/>
      <c r="AE816" s="1229"/>
      <c r="AF816" s="1230"/>
      <c r="AG816" s="1228"/>
      <c r="AH816" s="1229"/>
      <c r="AI816" s="1229"/>
      <c r="AJ816" s="123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32" t="s">
        <v>943</v>
      </c>
      <c r="D817" s="1355"/>
      <c r="E817" s="1355"/>
      <c r="F817" s="1355"/>
      <c r="G817" s="1355"/>
      <c r="H817" s="1355"/>
      <c r="I817" s="66"/>
      <c r="J817" s="66"/>
      <c r="K817" s="66"/>
      <c r="L817" s="67"/>
      <c r="M817" s="1101"/>
      <c r="N817" s="1101"/>
      <c r="O817" s="1101"/>
      <c r="P817" s="1101"/>
      <c r="Q817" s="1101"/>
      <c r="R817" s="1101"/>
      <c r="S817" s="1101"/>
      <c r="T817" s="1101"/>
      <c r="U817" s="1101"/>
      <c r="V817" s="1101"/>
      <c r="W817" s="1101"/>
      <c r="X817" s="1101"/>
      <c r="Y817" s="1101"/>
      <c r="Z817" s="1101"/>
      <c r="AA817" s="1101"/>
      <c r="AB817" s="1101"/>
      <c r="AC817" s="1228"/>
      <c r="AD817" s="1229"/>
      <c r="AE817" s="1229"/>
      <c r="AF817" s="1230"/>
      <c r="AG817" s="1228"/>
      <c r="AH817" s="1229"/>
      <c r="AI817" s="1229"/>
      <c r="AJ817" s="123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61" t="s">
        <v>2459</v>
      </c>
      <c r="G818" s="1119"/>
      <c r="H818" s="1119"/>
      <c r="I818" s="1119"/>
      <c r="J818" s="1119"/>
      <c r="K818" s="1119"/>
      <c r="L818" s="1119"/>
      <c r="M818" s="1101">
        <v>12</v>
      </c>
      <c r="N818" s="1101"/>
      <c r="O818" s="1101"/>
      <c r="P818" s="1101"/>
      <c r="Q818" s="1101">
        <v>12</v>
      </c>
      <c r="R818" s="1101"/>
      <c r="S818" s="1101"/>
      <c r="T818" s="1101"/>
      <c r="U818" s="1101">
        <v>12</v>
      </c>
      <c r="V818" s="1101"/>
      <c r="W818" s="1101"/>
      <c r="X818" s="1101"/>
      <c r="Y818" s="1101"/>
      <c r="Z818" s="1101"/>
      <c r="AA818" s="1101"/>
      <c r="AB818" s="1101"/>
      <c r="AC818" s="1228"/>
      <c r="AD818" s="1229"/>
      <c r="AE818" s="1229"/>
      <c r="AF818" s="1230"/>
      <c r="AG818" s="1228"/>
      <c r="AH818" s="1229"/>
      <c r="AI818" s="1229"/>
      <c r="AJ818" s="123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208" t="s">
        <v>876</v>
      </c>
      <c r="D819" s="1209"/>
      <c r="E819" s="1209"/>
      <c r="F819" s="1209"/>
      <c r="G819" s="1209"/>
      <c r="H819" s="1209"/>
      <c r="I819" s="1209"/>
      <c r="J819" s="1209"/>
      <c r="K819" s="1209"/>
      <c r="L819" s="1210"/>
      <c r="M819" s="1122">
        <f>SUM(M812:P818)</f>
        <v>12</v>
      </c>
      <c r="N819" s="1122"/>
      <c r="O819" s="1122"/>
      <c r="P819" s="1122"/>
      <c r="Q819" s="1122">
        <f>SUM(Q812:T818)</f>
        <v>12</v>
      </c>
      <c r="R819" s="1122"/>
      <c r="S819" s="1122"/>
      <c r="T819" s="1122"/>
      <c r="U819" s="1122">
        <f>SUM(U812:X818)</f>
        <v>12</v>
      </c>
      <c r="V819" s="1122"/>
      <c r="W819" s="1122"/>
      <c r="X819" s="1122"/>
      <c r="Y819" s="1122">
        <f>SUM(Y812:AB818)</f>
        <v>0</v>
      </c>
      <c r="Z819" s="1122"/>
      <c r="AA819" s="1122"/>
      <c r="AB819" s="1122"/>
      <c r="AC819" s="1122">
        <f>SUM(AC812:AF818)</f>
        <v>0</v>
      </c>
      <c r="AD819" s="1122"/>
      <c r="AE819" s="1122"/>
      <c r="AF819" s="1122"/>
      <c r="AG819" s="1122">
        <f>SUM(AG812:AJ818)</f>
        <v>0</v>
      </c>
      <c r="AH819" s="1122"/>
      <c r="AI819" s="1122"/>
      <c r="AJ819" s="112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33" t="s">
        <v>2460</v>
      </c>
      <c r="D824" s="1234"/>
      <c r="E824" s="1234"/>
      <c r="F824" s="1234"/>
      <c r="G824" s="1234"/>
      <c r="H824" s="1234"/>
      <c r="I824" s="1234"/>
      <c r="J824" s="1234"/>
      <c r="K824" s="1234"/>
      <c r="L824" s="1234"/>
      <c r="M824" s="1234"/>
      <c r="N824" s="1234"/>
      <c r="O824" s="1234"/>
      <c r="P824" s="1234"/>
      <c r="Q824" s="1234"/>
      <c r="R824" s="1234"/>
      <c r="S824" s="1234"/>
      <c r="T824" s="1234"/>
      <c r="U824" s="1234"/>
      <c r="V824" s="1234"/>
      <c r="W824" s="1234"/>
      <c r="X824" s="1234"/>
      <c r="Y824" s="1234"/>
      <c r="Z824" s="1234"/>
      <c r="AA824" s="1234"/>
      <c r="AB824" s="1234"/>
      <c r="AC824" s="1234"/>
      <c r="AD824" s="1234"/>
      <c r="AE824" s="1234"/>
      <c r="AF824" s="1234"/>
      <c r="AG824" s="1234"/>
      <c r="AH824" s="1234"/>
      <c r="AI824" s="1234"/>
      <c r="AJ824" s="1235"/>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45" t="s">
        <v>368</v>
      </c>
      <c r="BB827" s="1546"/>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21">
        <v>500</v>
      </c>
      <c r="X829" s="1121"/>
      <c r="Y829" s="1121"/>
      <c r="Z829" s="1121"/>
      <c r="AA829" s="1121"/>
      <c r="AB829" s="1121"/>
      <c r="AC829" s="112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21">
        <v>10000</v>
      </c>
      <c r="X830" s="1121"/>
      <c r="Y830" s="1121"/>
      <c r="Z830" s="1121"/>
      <c r="AA830" s="1121"/>
      <c r="AB830" s="1121"/>
      <c r="AC830" s="112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21">
        <v>15000</v>
      </c>
      <c r="X831" s="1121"/>
      <c r="Y831" s="1121"/>
      <c r="Z831" s="1121"/>
      <c r="AA831" s="1121"/>
      <c r="AB831" s="1121"/>
      <c r="AC831" s="1121"/>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21">
        <v>5000</v>
      </c>
      <c r="X832" s="1121"/>
      <c r="Y832" s="1121"/>
      <c r="Z832" s="1121"/>
      <c r="AA832" s="1121"/>
      <c r="AB832" s="1121"/>
      <c r="AC832" s="112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18" t="s">
        <v>562</v>
      </c>
      <c r="N833" s="1119"/>
      <c r="O833" s="1119"/>
      <c r="P833" s="1119"/>
      <c r="Q833" s="1119"/>
      <c r="R833" s="1119"/>
      <c r="S833" s="1119"/>
      <c r="T833" s="1119"/>
      <c r="U833" s="1119"/>
      <c r="V833" s="1120"/>
      <c r="W833" s="1121"/>
      <c r="X833" s="1121"/>
      <c r="Y833" s="1121"/>
      <c r="Z833" s="1121"/>
      <c r="AA833" s="1121"/>
      <c r="AB833" s="1121"/>
      <c r="AC833" s="112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42" t="str">
        <f>T189</f>
        <v>Amador</v>
      </c>
      <c r="BP833" s="1543"/>
      <c r="BQ833" s="1543"/>
      <c r="BR833" s="1543"/>
      <c r="BS833" s="1543"/>
      <c r="BT833" s="1543"/>
      <c r="BU833" s="1544"/>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19">
        <f>SUM(W829:W833)</f>
        <v>30500</v>
      </c>
      <c r="X834" s="1220"/>
      <c r="Y834" s="1220"/>
      <c r="Z834" s="1220"/>
      <c r="AA834" s="1220"/>
      <c r="AB834" s="1220"/>
      <c r="AC834" s="122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208" t="s">
        <v>469</v>
      </c>
      <c r="K836" s="1209"/>
      <c r="L836" s="1209"/>
      <c r="M836" s="1209"/>
      <c r="N836" s="1209"/>
      <c r="O836" s="1209"/>
      <c r="P836" s="1209"/>
      <c r="Q836" s="1209"/>
      <c r="R836" s="1209"/>
      <c r="S836" s="1209"/>
      <c r="T836" s="1209"/>
      <c r="U836" s="1209"/>
      <c r="V836" s="1210"/>
      <c r="W836" s="1115">
        <v>13127</v>
      </c>
      <c r="X836" s="1116"/>
      <c r="Y836" s="1116"/>
      <c r="Z836" s="1116"/>
      <c r="AA836" s="1116"/>
      <c r="AB836" s="1116"/>
      <c r="AC836" s="111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18">
        <v>500</v>
      </c>
      <c r="X838" s="1218"/>
      <c r="Y838" s="1218"/>
      <c r="Z838" s="1218"/>
      <c r="AA838" s="1218"/>
      <c r="AB838" s="1218"/>
      <c r="AC838" s="121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18"/>
      <c r="X839" s="1218"/>
      <c r="Y839" s="1218"/>
      <c r="Z839" s="1218"/>
      <c r="AA839" s="1218"/>
      <c r="AB839" s="1218"/>
      <c r="AC839" s="121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18">
        <v>15000</v>
      </c>
      <c r="X840" s="1218"/>
      <c r="Y840" s="1218"/>
      <c r="Z840" s="1218"/>
      <c r="AA840" s="1218"/>
      <c r="AB840" s="1218"/>
      <c r="AC840" s="121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18">
        <v>40000</v>
      </c>
      <c r="X841" s="1218"/>
      <c r="Y841" s="1218"/>
      <c r="Z841" s="1218"/>
      <c r="AA841" s="1218"/>
      <c r="AB841" s="1218"/>
      <c r="AC841" s="121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40">
        <f>SUM(W838:W841)</f>
        <v>55500</v>
      </c>
      <c r="X842" s="1540"/>
      <c r="Y842" s="1540"/>
      <c r="Z842" s="1540"/>
      <c r="AA842" s="1540"/>
      <c r="AB842" s="1540"/>
      <c r="AC842" s="1540"/>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25">
        <v>40945</v>
      </c>
      <c r="X844" s="1226"/>
      <c r="Y844" s="1226"/>
      <c r="Z844" s="1226"/>
      <c r="AA844" s="1226"/>
      <c r="AB844" s="1226"/>
      <c r="AC844" s="122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098"/>
      <c r="U845" s="1099"/>
      <c r="V845" s="110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225"/>
      <c r="X846" s="1226"/>
      <c r="Y846" s="1226"/>
      <c r="Z846" s="1226"/>
      <c r="AA846" s="1226"/>
      <c r="AB846" s="1226"/>
      <c r="AC846" s="122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098"/>
      <c r="U847" s="1099"/>
      <c r="V847" s="110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18" t="s">
        <v>562</v>
      </c>
      <c r="N848" s="1119"/>
      <c r="O848" s="1119"/>
      <c r="P848" s="1119"/>
      <c r="Q848" s="1119"/>
      <c r="R848" s="1119"/>
      <c r="S848" s="1119"/>
      <c r="T848" s="1119"/>
      <c r="U848" s="1119"/>
      <c r="V848" s="1120"/>
      <c r="W848" s="1225"/>
      <c r="X848" s="1226"/>
      <c r="Y848" s="1226"/>
      <c r="Z848" s="1226"/>
      <c r="AA848" s="1226"/>
      <c r="AB848" s="1226"/>
      <c r="AC848" s="122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9">
        <f>SUM(W844:W848)</f>
        <v>40945</v>
      </c>
      <c r="X849" s="1580"/>
      <c r="Y849" s="1580"/>
      <c r="Z849" s="1580"/>
      <c r="AA849" s="1580"/>
      <c r="AB849" s="1580"/>
      <c r="AC849" s="1581"/>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25">
        <v>69000</v>
      </c>
      <c r="X850" s="1226"/>
      <c r="Y850" s="1226"/>
      <c r="Z850" s="1226"/>
      <c r="AA850" s="1226"/>
      <c r="AB850" s="1226"/>
      <c r="AC850" s="122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21">
        <v>5000</v>
      </c>
      <c r="X852" s="1121"/>
      <c r="Y852" s="1121"/>
      <c r="Z852" s="1121"/>
      <c r="AA852" s="1121"/>
      <c r="AB852" s="1121"/>
      <c r="AC852" s="1121"/>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21">
        <v>15000</v>
      </c>
      <c r="X853" s="1121"/>
      <c r="Y853" s="1121"/>
      <c r="Z853" s="1121"/>
      <c r="AA853" s="1121"/>
      <c r="AB853" s="1121"/>
      <c r="AC853" s="112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21">
        <v>25000</v>
      </c>
      <c r="X854" s="1121"/>
      <c r="Y854" s="1121"/>
      <c r="Z854" s="1121"/>
      <c r="AA854" s="1121"/>
      <c r="AB854" s="1121"/>
      <c r="AC854" s="112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21">
        <v>5000</v>
      </c>
      <c r="X855" s="1121"/>
      <c r="Y855" s="1121"/>
      <c r="Z855" s="1121"/>
      <c r="AA855" s="1121"/>
      <c r="AB855" s="1121"/>
      <c r="AC855" s="112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21">
        <v>9173</v>
      </c>
      <c r="X856" s="1121"/>
      <c r="Y856" s="1121"/>
      <c r="Z856" s="1121"/>
      <c r="AA856" s="1121"/>
      <c r="AB856" s="1121"/>
      <c r="AC856" s="112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21"/>
      <c r="X857" s="1121"/>
      <c r="Y857" s="1121"/>
      <c r="Z857" s="1121"/>
      <c r="AA857" s="1121"/>
      <c r="AB857" s="1121"/>
      <c r="AC857" s="112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18" t="s">
        <v>562</v>
      </c>
      <c r="N858" s="1119"/>
      <c r="O858" s="1119"/>
      <c r="P858" s="1119"/>
      <c r="Q858" s="1119"/>
      <c r="R858" s="1119"/>
      <c r="S858" s="1119"/>
      <c r="T858" s="1119"/>
      <c r="U858" s="1119"/>
      <c r="V858" s="1120"/>
      <c r="W858" s="1121"/>
      <c r="X858" s="1121"/>
      <c r="Y858" s="1121"/>
      <c r="Z858" s="1121"/>
      <c r="AA858" s="1121"/>
      <c r="AB858" s="1121"/>
      <c r="AC858" s="112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114">
        <f>SUM(W852:W858)</f>
        <v>59173</v>
      </c>
      <c r="X859" s="1114"/>
      <c r="Y859" s="1114"/>
      <c r="Z859" s="1114"/>
      <c r="AA859" s="1114"/>
      <c r="AB859" s="1114"/>
      <c r="AC859" s="111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18" t="s">
        <v>562</v>
      </c>
      <c r="N861" s="1119"/>
      <c r="O861" s="1119"/>
      <c r="P861" s="1119"/>
      <c r="Q861" s="1119"/>
      <c r="R861" s="1119"/>
      <c r="S861" s="1119"/>
      <c r="T861" s="1119"/>
      <c r="U861" s="1119"/>
      <c r="V861" s="1120"/>
      <c r="W861" s="1115"/>
      <c r="X861" s="1116"/>
      <c r="Y861" s="1116"/>
      <c r="Z861" s="1116"/>
      <c r="AA861" s="1116"/>
      <c r="AB861" s="1116"/>
      <c r="AC861" s="1117"/>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18" t="s">
        <v>562</v>
      </c>
      <c r="N862" s="1119"/>
      <c r="O862" s="1119"/>
      <c r="P862" s="1119"/>
      <c r="Q862" s="1119"/>
      <c r="R862" s="1119"/>
      <c r="S862" s="1119"/>
      <c r="T862" s="1119"/>
      <c r="U862" s="1119"/>
      <c r="V862" s="1120"/>
      <c r="W862" s="1115"/>
      <c r="X862" s="1116"/>
      <c r="Y862" s="1116"/>
      <c r="Z862" s="1116"/>
      <c r="AA862" s="1116"/>
      <c r="AB862" s="1116"/>
      <c r="AC862" s="111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18" t="s">
        <v>562</v>
      </c>
      <c r="N863" s="1119"/>
      <c r="O863" s="1119"/>
      <c r="P863" s="1119"/>
      <c r="Q863" s="1119"/>
      <c r="R863" s="1119"/>
      <c r="S863" s="1119"/>
      <c r="T863" s="1119"/>
      <c r="U863" s="1119"/>
      <c r="V863" s="1120"/>
      <c r="W863" s="1115"/>
      <c r="X863" s="1116"/>
      <c r="Y863" s="1116"/>
      <c r="Z863" s="1116"/>
      <c r="AA863" s="1116"/>
      <c r="AB863" s="1116"/>
      <c r="AC863" s="1117"/>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18" t="s">
        <v>562</v>
      </c>
      <c r="N864" s="1119"/>
      <c r="O864" s="1119"/>
      <c r="P864" s="1119"/>
      <c r="Q864" s="1119"/>
      <c r="R864" s="1119"/>
      <c r="S864" s="1119"/>
      <c r="T864" s="1119"/>
      <c r="U864" s="1119"/>
      <c r="V864" s="1120"/>
      <c r="W864" s="1115"/>
      <c r="X864" s="1116"/>
      <c r="Y864" s="1116"/>
      <c r="Z864" s="1116"/>
      <c r="AA864" s="1116"/>
      <c r="AB864" s="1116"/>
      <c r="AC864" s="111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18" t="s">
        <v>562</v>
      </c>
      <c r="N865" s="1119"/>
      <c r="O865" s="1119"/>
      <c r="P865" s="1119"/>
      <c r="Q865" s="1119"/>
      <c r="R865" s="1119"/>
      <c r="S865" s="1119"/>
      <c r="T865" s="1119"/>
      <c r="U865" s="1119"/>
      <c r="V865" s="1120"/>
      <c r="W865" s="1115"/>
      <c r="X865" s="1116"/>
      <c r="Y865" s="1116"/>
      <c r="Z865" s="1116"/>
      <c r="AA865" s="1116"/>
      <c r="AB865" s="1116"/>
      <c r="AC865" s="111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19">
        <f>SUM(W861:W865)</f>
        <v>0</v>
      </c>
      <c r="X866" s="1220"/>
      <c r="Y866" s="1220"/>
      <c r="Z866" s="1220"/>
      <c r="AA866" s="1220"/>
      <c r="AB866" s="1220"/>
      <c r="AC866" s="122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19">
        <f>W834+W842+W849+W850+W859+W866+W836</f>
        <v>268245</v>
      </c>
      <c r="AD870" s="1220"/>
      <c r="AE870" s="1220"/>
      <c r="AF870" s="1220"/>
      <c r="AG870" s="1220"/>
      <c r="AH870" s="1221"/>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214">
        <f>O784+O764+G738</f>
        <v>46</v>
      </c>
      <c r="AD871" s="1215"/>
      <c r="AE871" s="1215"/>
      <c r="AF871" s="1215"/>
      <c r="AG871" s="1215"/>
      <c r="AH871" s="1216"/>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20" t="s">
        <v>346</v>
      </c>
      <c r="F872" s="1521"/>
      <c r="G872" s="1521"/>
      <c r="H872" s="1521"/>
      <c r="I872" s="1521"/>
      <c r="J872" s="1521"/>
      <c r="K872" s="1521"/>
      <c r="L872" s="1521"/>
      <c r="M872" s="1521"/>
      <c r="N872" s="1521"/>
      <c r="O872" s="1521"/>
      <c r="P872" s="1521"/>
      <c r="Q872" s="1521"/>
      <c r="R872" s="1521"/>
      <c r="S872" s="1521"/>
      <c r="T872" s="1521"/>
      <c r="U872" s="1521"/>
      <c r="V872" s="1521"/>
      <c r="W872" s="1521"/>
      <c r="X872" s="1521"/>
      <c r="Y872" s="1521"/>
      <c r="Z872" s="1521"/>
      <c r="AA872" s="1521"/>
      <c r="AB872" s="1522"/>
      <c r="AC872" s="1231">
        <f>IF(ISERROR((ROUNDDOWN(AC870/AC871,0))),0,(ROUNDDOWN(AC870/AC871,0)))</f>
        <v>5831</v>
      </c>
      <c r="AD872" s="1232"/>
      <c r="AE872" s="1232"/>
      <c r="AF872" s="1232"/>
      <c r="AG872" s="1232"/>
      <c r="AH872" s="1232"/>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97">
        <f>+'Sources and Uses Budget'!C74</f>
        <v>89861</v>
      </c>
      <c r="AD873" s="1237"/>
      <c r="AE873" s="1237"/>
      <c r="AF873" s="1237"/>
      <c r="AG873" s="1237"/>
      <c r="AH873" s="1237"/>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117"/>
      <c r="AD874" s="1121"/>
      <c r="AE874" s="1121"/>
      <c r="AF874" s="1121"/>
      <c r="AG874" s="1121"/>
      <c r="AH874" s="1121"/>
      <c r="AI874"/>
      <c r="AJ874"/>
      <c r="AK874"/>
      <c r="AL874"/>
      <c r="AM874" s="38"/>
      <c r="AN874" s="38"/>
      <c r="AV874" s="1519"/>
      <c r="AW874" s="1519"/>
      <c r="AX874" s="1519"/>
      <c r="AY874" s="1519"/>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115">
        <v>68200</v>
      </c>
      <c r="AD875" s="1116"/>
      <c r="AE875" s="1116"/>
      <c r="AF875" s="1116"/>
      <c r="AG875" s="1116"/>
      <c r="AH875" s="1117"/>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115">
        <v>23000</v>
      </c>
      <c r="AD876" s="1116"/>
      <c r="AE876" s="1116"/>
      <c r="AF876" s="1116"/>
      <c r="AG876" s="1116"/>
      <c r="AH876" s="1117"/>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115"/>
      <c r="AD877" s="1116"/>
      <c r="AE877" s="1116"/>
      <c r="AF877" s="1116"/>
      <c r="AG877" s="1116"/>
      <c r="AH877" s="1117"/>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115"/>
      <c r="AD878" s="1116"/>
      <c r="AE878" s="1116"/>
      <c r="AF878" s="1116"/>
      <c r="AG878" s="1116"/>
      <c r="AH878" s="1117"/>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52"/>
      <c r="AD879" s="1121"/>
      <c r="AE879" s="1121"/>
      <c r="AF879" s="1121"/>
      <c r="AG879" s="1121"/>
      <c r="AH879" s="1121"/>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22" t="s">
        <v>1209</v>
      </c>
      <c r="F880" s="1223"/>
      <c r="G880" s="1223"/>
      <c r="H880" s="1223"/>
      <c r="I880" s="1223"/>
      <c r="J880" s="1223"/>
      <c r="K880" s="1223"/>
      <c r="L880" s="1223"/>
      <c r="M880" s="1223"/>
      <c r="N880" s="1223"/>
      <c r="O880" s="1223"/>
      <c r="P880" s="1223"/>
      <c r="Q880" s="1223"/>
      <c r="R880" s="1223"/>
      <c r="S880" s="1223"/>
      <c r="T880" s="1223"/>
      <c r="U880" s="1223"/>
      <c r="V880" s="1223"/>
      <c r="W880" s="1223"/>
      <c r="X880" s="1223"/>
      <c r="Y880" s="1223"/>
      <c r="Z880" s="1223"/>
      <c r="AA880" s="1223"/>
      <c r="AB880" s="1224"/>
      <c r="AC880" s="1121"/>
      <c r="AD880" s="1121"/>
      <c r="AE880" s="1121"/>
      <c r="AF880" s="1121"/>
      <c r="AG880" s="1121"/>
      <c r="AH880" s="1121"/>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22" t="s">
        <v>1209</v>
      </c>
      <c r="F881" s="1223"/>
      <c r="G881" s="1223"/>
      <c r="H881" s="1223"/>
      <c r="I881" s="1223"/>
      <c r="J881" s="1223"/>
      <c r="K881" s="1223"/>
      <c r="L881" s="1223"/>
      <c r="M881" s="1223"/>
      <c r="N881" s="1223"/>
      <c r="O881" s="1223"/>
      <c r="P881" s="1223"/>
      <c r="Q881" s="1223"/>
      <c r="R881" s="1223"/>
      <c r="S881" s="1223"/>
      <c r="T881" s="1223"/>
      <c r="U881" s="1223"/>
      <c r="V881" s="1223"/>
      <c r="W881" s="1223"/>
      <c r="X881" s="1223"/>
      <c r="Y881" s="1223"/>
      <c r="Z881" s="1223"/>
      <c r="AA881" s="1223"/>
      <c r="AB881" s="1224"/>
      <c r="AC881" s="1121"/>
      <c r="AD881" s="1121"/>
      <c r="AE881" s="1121"/>
      <c r="AF881" s="1121"/>
      <c r="AG881" s="1121"/>
      <c r="AH881" s="1121"/>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36"/>
      <c r="AD882" s="1236"/>
      <c r="AE882" s="1236"/>
      <c r="AF882" s="1236"/>
      <c r="AG882" s="1236"/>
      <c r="AH882" s="1236"/>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69"/>
      <c r="AO883" s="1569"/>
      <c r="AP883" s="1519"/>
      <c r="AQ883" s="1519"/>
      <c r="AR883" s="1519"/>
      <c r="AS883" s="1519"/>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19"/>
      <c r="AQ884" s="1519"/>
      <c r="AR884" s="1519"/>
      <c r="AS884" s="1519"/>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115"/>
      <c r="AA885" s="1116"/>
      <c r="AB885" s="1116"/>
      <c r="AC885" s="1116"/>
      <c r="AD885" s="1116"/>
      <c r="AE885" s="1117"/>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115"/>
      <c r="AA886" s="1116"/>
      <c r="AB886" s="1116"/>
      <c r="AC886" s="1116"/>
      <c r="AD886" s="1116"/>
      <c r="AE886" s="1117"/>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115"/>
      <c r="AA887" s="1116"/>
      <c r="AB887" s="1116"/>
      <c r="AC887" s="1116"/>
      <c r="AD887" s="1116"/>
      <c r="AE887" s="1117"/>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19">
        <f>Z885-(Z886+Z887)</f>
        <v>0</v>
      </c>
      <c r="AA888" s="1220"/>
      <c r="AB888" s="1220"/>
      <c r="AC888" s="1220"/>
      <c r="AD888" s="1220"/>
      <c r="AE888" s="1221"/>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123" t="s">
        <v>128</v>
      </c>
      <c r="B895" s="1123"/>
      <c r="C895" s="1123"/>
      <c r="D895" s="1123"/>
      <c r="E895" s="1123"/>
      <c r="F895" s="1123"/>
      <c r="G895" s="1123"/>
      <c r="H895" s="1123"/>
      <c r="I895" s="1123"/>
      <c r="J895" s="1123"/>
      <c r="K895" s="1123"/>
      <c r="L895" s="1123"/>
      <c r="M895" s="1123"/>
      <c r="N895" s="1123"/>
      <c r="O895" s="1123"/>
      <c r="P895" s="1123"/>
      <c r="Q895" s="1123"/>
      <c r="R895" s="1123"/>
      <c r="S895" s="1123"/>
      <c r="T895" s="1123"/>
      <c r="U895" s="1123"/>
      <c r="V895" s="1123"/>
      <c r="W895" s="1123"/>
      <c r="X895" s="1123"/>
      <c r="Y895" s="1123"/>
      <c r="Z895" s="1123"/>
      <c r="AA895" s="1123"/>
      <c r="AB895" s="1123"/>
      <c r="AC895" s="1123"/>
      <c r="AD895" s="1123"/>
      <c r="AE895" s="1123"/>
      <c r="AF895" s="1123"/>
      <c r="AG895" s="1123"/>
      <c r="AH895" s="1123"/>
      <c r="AI895" s="1123"/>
      <c r="AJ895" s="1123"/>
      <c r="AK895" s="1123"/>
      <c r="AL895" s="1123"/>
      <c r="AM895" s="1123"/>
      <c r="AN895" s="1123"/>
      <c r="AO895" s="1123"/>
      <c r="AP895" s="1123"/>
      <c r="AQ895" s="1123"/>
      <c r="AR895" s="1123"/>
      <c r="AS895" s="1123"/>
      <c r="AT895" s="1123"/>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23"/>
      <c r="B896" s="1123"/>
      <c r="C896" s="1123"/>
      <c r="D896" s="1123"/>
      <c r="E896" s="1123"/>
      <c r="F896" s="1123"/>
      <c r="G896" s="1123"/>
      <c r="H896" s="1123"/>
      <c r="I896" s="1123"/>
      <c r="J896" s="1123"/>
      <c r="K896" s="1123"/>
      <c r="L896" s="1123"/>
      <c r="M896" s="1123"/>
      <c r="N896" s="1123"/>
      <c r="O896" s="1123"/>
      <c r="P896" s="1123"/>
      <c r="Q896" s="1123"/>
      <c r="R896" s="1123"/>
      <c r="S896" s="1123"/>
      <c r="T896" s="1123"/>
      <c r="U896" s="1123"/>
      <c r="V896" s="1123"/>
      <c r="W896" s="1123"/>
      <c r="X896" s="1123"/>
      <c r="Y896" s="1123"/>
      <c r="Z896" s="1123"/>
      <c r="AA896" s="1123"/>
      <c r="AB896" s="1123"/>
      <c r="AC896" s="1123"/>
      <c r="AD896" s="1123"/>
      <c r="AE896" s="1123"/>
      <c r="AF896" s="1123"/>
      <c r="AG896" s="1123"/>
      <c r="AH896" s="1123"/>
      <c r="AI896" s="1123"/>
      <c r="AJ896" s="1123"/>
      <c r="AK896" s="1123"/>
      <c r="AL896" s="1123"/>
      <c r="AM896" s="1123"/>
      <c r="AN896" s="1123"/>
      <c r="AO896" s="1123"/>
      <c r="AP896" s="1123"/>
      <c r="AQ896" s="1123"/>
      <c r="AR896" s="1123"/>
      <c r="AS896" s="1123"/>
      <c r="AT896" s="1123"/>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70" t="s">
        <v>961</v>
      </c>
      <c r="G900" s="1571"/>
      <c r="H900" s="1571"/>
      <c r="I900" s="1571"/>
      <c r="J900" s="1571"/>
      <c r="K900" s="1571"/>
      <c r="L900" s="1571"/>
      <c r="M900" s="1571"/>
      <c r="N900" s="1571"/>
      <c r="O900" s="1571"/>
      <c r="P900" s="1571"/>
      <c r="Q900" s="1571"/>
      <c r="R900" s="1571"/>
      <c r="S900" s="1571"/>
      <c r="T900" s="1572"/>
      <c r="U900" s="1578" t="s">
        <v>345</v>
      </c>
      <c r="V900" s="1573"/>
      <c r="W900" s="1573"/>
      <c r="X900" s="1573"/>
      <c r="Y900" s="1573"/>
      <c r="Z900" s="1573"/>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63" t="s">
        <v>1039</v>
      </c>
      <c r="G901" s="1564"/>
      <c r="H901" s="1564"/>
      <c r="I901" s="1564"/>
      <c r="J901" s="1564"/>
      <c r="K901" s="1564"/>
      <c r="L901" s="1564"/>
      <c r="M901" s="1564"/>
      <c r="N901" s="1564"/>
      <c r="O901" s="1564"/>
      <c r="P901" s="1564"/>
      <c r="Q901" s="1564"/>
      <c r="R901" s="1564"/>
      <c r="S901" s="1564"/>
      <c r="T901" s="1565"/>
      <c r="U901" s="1563"/>
      <c r="V901" s="1564"/>
      <c r="W901" s="1564"/>
      <c r="X901" s="1564"/>
      <c r="Y901" s="1564"/>
      <c r="Z901" s="156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66"/>
      <c r="G902" s="1567"/>
      <c r="H902" s="1567"/>
      <c r="I902" s="1567"/>
      <c r="J902" s="1567"/>
      <c r="K902" s="1567"/>
      <c r="L902" s="1567"/>
      <c r="M902" s="1567"/>
      <c r="N902" s="1567"/>
      <c r="O902" s="1567"/>
      <c r="P902" s="1567"/>
      <c r="Q902" s="1567"/>
      <c r="R902" s="1567"/>
      <c r="S902" s="1567"/>
      <c r="T902" s="1568"/>
      <c r="U902" s="1566"/>
      <c r="V902" s="1567"/>
      <c r="W902" s="1567"/>
      <c r="X902" s="1567"/>
      <c r="Y902" s="1567"/>
      <c r="Z902" s="1567"/>
      <c r="AA902" s="196"/>
      <c r="AB902" s="1217" t="s">
        <v>56</v>
      </c>
      <c r="AC902" s="1217"/>
      <c r="AD902" s="1217"/>
      <c r="AE902" s="121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89" t="s">
        <v>158</v>
      </c>
      <c r="G903" s="1090"/>
      <c r="H903" s="1090"/>
      <c r="I903" s="1090"/>
      <c r="J903" s="1090"/>
      <c r="K903" s="1090"/>
      <c r="L903" s="1090"/>
      <c r="M903" s="1090"/>
      <c r="N903" s="1090"/>
      <c r="O903" s="1090"/>
      <c r="P903" s="1090"/>
      <c r="Q903" s="1090"/>
      <c r="R903" s="1090"/>
      <c r="S903" s="1090"/>
      <c r="T903" s="1091"/>
      <c r="U903" s="1092" t="s">
        <v>124</v>
      </c>
      <c r="V903" s="1093"/>
      <c r="W903" s="1093"/>
      <c r="X903" s="1093"/>
      <c r="Y903" s="1093"/>
      <c r="Z903" s="1094"/>
      <c r="AA903" s="1095">
        <v>7580888</v>
      </c>
      <c r="AB903" s="1096"/>
      <c r="AC903" s="1096"/>
      <c r="AD903" s="1096"/>
      <c r="AE903" s="1096"/>
      <c r="AF903" s="10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89" t="s">
        <v>160</v>
      </c>
      <c r="G904" s="1090"/>
      <c r="H904" s="1090"/>
      <c r="I904" s="1090"/>
      <c r="J904" s="1090"/>
      <c r="K904" s="1090"/>
      <c r="L904" s="1090"/>
      <c r="M904" s="1090"/>
      <c r="N904" s="1090"/>
      <c r="O904" s="1090"/>
      <c r="P904" s="1090"/>
      <c r="Q904" s="1090"/>
      <c r="R904" s="1090"/>
      <c r="S904" s="1090"/>
      <c r="T904" s="1091"/>
      <c r="U904" s="1092" t="s">
        <v>124</v>
      </c>
      <c r="V904" s="1093"/>
      <c r="W904" s="1093"/>
      <c r="X904" s="1093"/>
      <c r="Y904" s="1093"/>
      <c r="Z904" s="1094"/>
      <c r="AA904" s="1095"/>
      <c r="AB904" s="1096"/>
      <c r="AC904" s="1096"/>
      <c r="AD904" s="1096"/>
      <c r="AE904" s="1096"/>
      <c r="AF904" s="109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108" t="s">
        <v>946</v>
      </c>
      <c r="G905" s="1109"/>
      <c r="H905" s="1109"/>
      <c r="I905" s="1109"/>
      <c r="J905" s="1109"/>
      <c r="K905" s="1109"/>
      <c r="L905" s="1109"/>
      <c r="M905" s="1109"/>
      <c r="N905" s="1109"/>
      <c r="O905" s="1109"/>
      <c r="P905" s="1109"/>
      <c r="Q905" s="1109"/>
      <c r="R905" s="1109"/>
      <c r="S905" s="1109"/>
      <c r="T905" s="1110"/>
      <c r="U905" s="1092" t="s">
        <v>124</v>
      </c>
      <c r="V905" s="1093"/>
      <c r="W905" s="1093"/>
      <c r="X905" s="1093"/>
      <c r="Y905" s="1093"/>
      <c r="Z905" s="1094"/>
      <c r="AA905" s="1095"/>
      <c r="AB905" s="1096"/>
      <c r="AC905" s="1096"/>
      <c r="AD905" s="1096"/>
      <c r="AE905" s="1096"/>
      <c r="AF905" s="109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108" t="s">
        <v>947</v>
      </c>
      <c r="G906" s="1109"/>
      <c r="H906" s="1109"/>
      <c r="I906" s="1109"/>
      <c r="J906" s="1109"/>
      <c r="K906" s="1109"/>
      <c r="L906" s="1109"/>
      <c r="M906" s="1109"/>
      <c r="N906" s="1109"/>
      <c r="O906" s="1109"/>
      <c r="P906" s="1109"/>
      <c r="Q906" s="1109"/>
      <c r="R906" s="1109"/>
      <c r="S906" s="1109"/>
      <c r="T906" s="1110"/>
      <c r="U906" s="1092" t="s">
        <v>124</v>
      </c>
      <c r="V906" s="1093"/>
      <c r="W906" s="1093"/>
      <c r="X906" s="1093"/>
      <c r="Y906" s="1093"/>
      <c r="Z906" s="1094"/>
      <c r="AA906" s="1095"/>
      <c r="AB906" s="1096"/>
      <c r="AC906" s="1096"/>
      <c r="AD906" s="1096"/>
      <c r="AE906" s="1096"/>
      <c r="AF906" s="109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108" t="s">
        <v>948</v>
      </c>
      <c r="G907" s="1109"/>
      <c r="H907" s="1109"/>
      <c r="I907" s="1109"/>
      <c r="J907" s="1109"/>
      <c r="K907" s="1109"/>
      <c r="L907" s="1109"/>
      <c r="M907" s="1109"/>
      <c r="N907" s="1109"/>
      <c r="O907" s="1109"/>
      <c r="P907" s="1109"/>
      <c r="Q907" s="1109"/>
      <c r="R907" s="1109"/>
      <c r="S907" s="1109"/>
      <c r="T907" s="1110"/>
      <c r="U907" s="1092" t="s">
        <v>124</v>
      </c>
      <c r="V907" s="1093"/>
      <c r="W907" s="1093"/>
      <c r="X907" s="1093"/>
      <c r="Y907" s="1093"/>
      <c r="Z907" s="1094"/>
      <c r="AA907" s="1095"/>
      <c r="AB907" s="1096"/>
      <c r="AC907" s="1096"/>
      <c r="AD907" s="1096"/>
      <c r="AE907" s="1096"/>
      <c r="AF907" s="109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89" t="s">
        <v>159</v>
      </c>
      <c r="G908" s="1090"/>
      <c r="H908" s="1090"/>
      <c r="I908" s="1090"/>
      <c r="J908" s="1090"/>
      <c r="K908" s="1090"/>
      <c r="L908" s="1090"/>
      <c r="M908" s="1090"/>
      <c r="N908" s="1090"/>
      <c r="O908" s="1090"/>
      <c r="P908" s="1090"/>
      <c r="Q908" s="1090"/>
      <c r="R908" s="1090"/>
      <c r="S908" s="1090"/>
      <c r="T908" s="1091"/>
      <c r="U908" s="1092" t="s">
        <v>124</v>
      </c>
      <c r="V908" s="1093"/>
      <c r="W908" s="1093"/>
      <c r="X908" s="1093"/>
      <c r="Y908" s="1093"/>
      <c r="Z908" s="1094"/>
      <c r="AA908" s="1095"/>
      <c r="AB908" s="1096"/>
      <c r="AC908" s="1096"/>
      <c r="AD908" s="1096"/>
      <c r="AE908" s="1096"/>
      <c r="AF908" s="109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89" t="s">
        <v>2268</v>
      </c>
      <c r="G909" s="1090"/>
      <c r="H909" s="1090"/>
      <c r="I909" s="1090"/>
      <c r="J909" s="1090"/>
      <c r="K909" s="1090"/>
      <c r="L909" s="1090"/>
      <c r="M909" s="1090"/>
      <c r="N909" s="1090"/>
      <c r="O909" s="1090"/>
      <c r="P909" s="1090"/>
      <c r="Q909" s="1090"/>
      <c r="R909" s="1090"/>
      <c r="S909" s="1090"/>
      <c r="T909" s="1091"/>
      <c r="U909" s="1092" t="s">
        <v>124</v>
      </c>
      <c r="V909" s="1093"/>
      <c r="W909" s="1093"/>
      <c r="X909" s="1093"/>
      <c r="Y909" s="1093"/>
      <c r="Z909" s="1094"/>
      <c r="AA909" s="1095"/>
      <c r="AB909" s="1096"/>
      <c r="AC909" s="1096"/>
      <c r="AD909" s="1096"/>
      <c r="AE909" s="1096"/>
      <c r="AF909" s="109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89" t="s">
        <v>161</v>
      </c>
      <c r="G910" s="1090"/>
      <c r="H910" s="1090"/>
      <c r="I910" s="1090"/>
      <c r="J910" s="1090"/>
      <c r="K910" s="1090"/>
      <c r="L910" s="1090"/>
      <c r="M910" s="1090"/>
      <c r="N910" s="1090"/>
      <c r="O910" s="1090"/>
      <c r="P910" s="1090"/>
      <c r="Q910" s="1090"/>
      <c r="R910" s="1090"/>
      <c r="S910" s="1090"/>
      <c r="T910" s="1091"/>
      <c r="U910" s="1092" t="s">
        <v>124</v>
      </c>
      <c r="V910" s="1093"/>
      <c r="W910" s="1093"/>
      <c r="X910" s="1093"/>
      <c r="Y910" s="1093"/>
      <c r="Z910" s="1094"/>
      <c r="AA910" s="1095"/>
      <c r="AB910" s="1096"/>
      <c r="AC910" s="1096"/>
      <c r="AD910" s="1096"/>
      <c r="AE910" s="1096"/>
      <c r="AF910" s="109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89" t="s">
        <v>2265</v>
      </c>
      <c r="G911" s="1090"/>
      <c r="H911" s="1090"/>
      <c r="I911" s="1090"/>
      <c r="J911" s="1090"/>
      <c r="K911" s="1090"/>
      <c r="L911" s="1090"/>
      <c r="M911" s="1090"/>
      <c r="N911" s="1090"/>
      <c r="O911" s="1090"/>
      <c r="P911" s="1090"/>
      <c r="Q911" s="1090"/>
      <c r="R911" s="1090"/>
      <c r="S911" s="1090"/>
      <c r="T911" s="1091"/>
      <c r="U911" s="1092" t="s">
        <v>124</v>
      </c>
      <c r="V911" s="1093"/>
      <c r="W911" s="1093"/>
      <c r="X911" s="1093"/>
      <c r="Y911" s="1093"/>
      <c r="Z911" s="1094"/>
      <c r="AA911" s="1095"/>
      <c r="AB911" s="1096"/>
      <c r="AC911" s="1096"/>
      <c r="AD911" s="1096"/>
      <c r="AE911" s="1096"/>
      <c r="AF911" s="109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89" t="s">
        <v>2266</v>
      </c>
      <c r="G912" s="1090"/>
      <c r="H912" s="1090"/>
      <c r="I912" s="1090"/>
      <c r="J912" s="1090"/>
      <c r="K912" s="1090"/>
      <c r="L912" s="1090"/>
      <c r="M912" s="1090"/>
      <c r="N912" s="1090"/>
      <c r="O912" s="1090"/>
      <c r="P912" s="1090"/>
      <c r="Q912" s="1090"/>
      <c r="R912" s="1090"/>
      <c r="S912" s="1090"/>
      <c r="T912" s="1091"/>
      <c r="U912" s="1092" t="s">
        <v>124</v>
      </c>
      <c r="V912" s="1093"/>
      <c r="W912" s="1093"/>
      <c r="X912" s="1093"/>
      <c r="Y912" s="1093"/>
      <c r="Z912" s="1094"/>
      <c r="AA912" s="1095"/>
      <c r="AB912" s="1096"/>
      <c r="AC912" s="1096"/>
      <c r="AD912" s="1096"/>
      <c r="AE912" s="1096"/>
      <c r="AF912" s="109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89" t="s">
        <v>2267</v>
      </c>
      <c r="G913" s="1090"/>
      <c r="H913" s="1090"/>
      <c r="I913" s="1090"/>
      <c r="J913" s="1090"/>
      <c r="K913" s="1090"/>
      <c r="L913" s="1090"/>
      <c r="M913" s="1090"/>
      <c r="N913" s="1090"/>
      <c r="O913" s="1090"/>
      <c r="P913" s="1090"/>
      <c r="Q913" s="1090"/>
      <c r="R913" s="1090"/>
      <c r="S913" s="1090"/>
      <c r="T913" s="1091"/>
      <c r="U913" s="1092" t="s">
        <v>124</v>
      </c>
      <c r="V913" s="1093"/>
      <c r="W913" s="1093"/>
      <c r="X913" s="1093"/>
      <c r="Y913" s="1093"/>
      <c r="Z913" s="1094"/>
      <c r="AA913" s="1095"/>
      <c r="AB913" s="1096"/>
      <c r="AC913" s="1096"/>
      <c r="AD913" s="1096"/>
      <c r="AE913" s="1096"/>
      <c r="AF913" s="109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89" t="s">
        <v>2261</v>
      </c>
      <c r="G914" s="1090"/>
      <c r="H914" s="1090"/>
      <c r="I914" s="1090"/>
      <c r="J914" s="1090"/>
      <c r="K914" s="1090"/>
      <c r="L914" s="1090"/>
      <c r="M914" s="1090"/>
      <c r="N914" s="1090"/>
      <c r="O914" s="1090"/>
      <c r="P914" s="1090"/>
      <c r="Q914" s="1090"/>
      <c r="R914" s="1090"/>
      <c r="S914" s="1090"/>
      <c r="T914" s="1091"/>
      <c r="U914" s="1092" t="s">
        <v>124</v>
      </c>
      <c r="V914" s="1093"/>
      <c r="W914" s="1093"/>
      <c r="X914" s="1093"/>
      <c r="Y914" s="1093"/>
      <c r="Z914" s="1094"/>
      <c r="AA914" s="1095"/>
      <c r="AB914" s="1096"/>
      <c r="AC914" s="1096"/>
      <c r="AD914" s="1096"/>
      <c r="AE914" s="1096"/>
      <c r="AF914" s="109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89" t="s">
        <v>2258</v>
      </c>
      <c r="G915" s="1090"/>
      <c r="H915" s="1090"/>
      <c r="I915" s="1090"/>
      <c r="J915" s="1090"/>
      <c r="K915" s="1090"/>
      <c r="L915" s="1090"/>
      <c r="M915" s="1090"/>
      <c r="N915" s="1090"/>
      <c r="O915" s="1090"/>
      <c r="P915" s="1090"/>
      <c r="Q915" s="1090"/>
      <c r="R915" s="1090"/>
      <c r="S915" s="1090"/>
      <c r="T915" s="1091"/>
      <c r="U915" s="1092" t="s">
        <v>124</v>
      </c>
      <c r="V915" s="1093"/>
      <c r="W915" s="1093"/>
      <c r="X915" s="1093"/>
      <c r="Y915" s="1093"/>
      <c r="Z915" s="1094"/>
      <c r="AA915" s="1095"/>
      <c r="AB915" s="1096"/>
      <c r="AC915" s="1096"/>
      <c r="AD915" s="1096"/>
      <c r="AE915" s="1096"/>
      <c r="AF915" s="109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105" t="s">
        <v>157</v>
      </c>
      <c r="G916" s="1106"/>
      <c r="H916" s="1106"/>
      <c r="I916" s="1106"/>
      <c r="J916" s="1106"/>
      <c r="K916" s="1106"/>
      <c r="L916" s="1106"/>
      <c r="M916" s="1106"/>
      <c r="N916" s="1106"/>
      <c r="O916" s="1106"/>
      <c r="P916" s="1106"/>
      <c r="Q916" s="1106"/>
      <c r="R916" s="1106"/>
      <c r="S916" s="1106"/>
      <c r="T916" s="1107"/>
      <c r="U916" s="1092" t="s">
        <v>124</v>
      </c>
      <c r="V916" s="1093"/>
      <c r="W916" s="1093"/>
      <c r="X916" s="1093"/>
      <c r="Y916" s="1093"/>
      <c r="Z916" s="1094"/>
      <c r="AA916" s="1095"/>
      <c r="AB916" s="1096"/>
      <c r="AC916" s="1096"/>
      <c r="AD916" s="1096"/>
      <c r="AE916" s="1096"/>
      <c r="AF916" s="109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89" t="s">
        <v>1893</v>
      </c>
      <c r="G917" s="1090"/>
      <c r="H917" s="1090"/>
      <c r="I917" s="1090"/>
      <c r="J917" s="1090"/>
      <c r="K917" s="1090"/>
      <c r="L917" s="1090"/>
      <c r="M917" s="1090"/>
      <c r="N917" s="1090"/>
      <c r="O917" s="1090"/>
      <c r="P917" s="1090"/>
      <c r="Q917" s="1090"/>
      <c r="R917" s="1090"/>
      <c r="S917" s="1090"/>
      <c r="T917" s="1091"/>
      <c r="U917" s="1092" t="s">
        <v>124</v>
      </c>
      <c r="V917" s="1093"/>
      <c r="W917" s="1093"/>
      <c r="X917" s="1093"/>
      <c r="Y917" s="1093"/>
      <c r="Z917" s="1094"/>
      <c r="AA917" s="1095"/>
      <c r="AB917" s="1096"/>
      <c r="AC917" s="1096"/>
      <c r="AD917" s="1096"/>
      <c r="AE917" s="1096"/>
      <c r="AF917" s="109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108" t="s">
        <v>1008</v>
      </c>
      <c r="G918" s="1109"/>
      <c r="H918" s="1109"/>
      <c r="I918" s="1109"/>
      <c r="J918" s="1109"/>
      <c r="K918" s="1109"/>
      <c r="L918" s="1109"/>
      <c r="M918" s="1109"/>
      <c r="N918" s="1109"/>
      <c r="O918" s="1109"/>
      <c r="P918" s="1109"/>
      <c r="Q918" s="1109"/>
      <c r="R918" s="1109"/>
      <c r="S918" s="1109"/>
      <c r="T918" s="1110"/>
      <c r="U918" s="1092" t="s">
        <v>124</v>
      </c>
      <c r="V918" s="1093"/>
      <c r="W918" s="1093"/>
      <c r="X918" s="1093"/>
      <c r="Y918" s="1093"/>
      <c r="Z918" s="1094"/>
      <c r="AA918" s="1095"/>
      <c r="AB918" s="1096"/>
      <c r="AC918" s="1096"/>
      <c r="AD918" s="1096"/>
      <c r="AE918" s="1096"/>
      <c r="AF918" s="109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102" t="s">
        <v>2269</v>
      </c>
      <c r="G919" s="1103"/>
      <c r="H919" s="1103"/>
      <c r="I919" s="1103"/>
      <c r="J919" s="1103"/>
      <c r="K919" s="1103"/>
      <c r="L919" s="1103"/>
      <c r="M919" s="1103"/>
      <c r="N919" s="1103"/>
      <c r="O919" s="1103"/>
      <c r="P919" s="1103"/>
      <c r="Q919" s="1103"/>
      <c r="R919" s="1103"/>
      <c r="S919" s="1103"/>
      <c r="T919" s="1104"/>
      <c r="U919" s="1092" t="s">
        <v>124</v>
      </c>
      <c r="V919" s="1093"/>
      <c r="W919" s="1093"/>
      <c r="X919" s="1093"/>
      <c r="Y919" s="1093"/>
      <c r="Z919" s="1094"/>
      <c r="AA919" s="1095"/>
      <c r="AB919" s="1096"/>
      <c r="AC919" s="1096"/>
      <c r="AD919" s="1096"/>
      <c r="AE919" s="1096"/>
      <c r="AF919" s="109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102" t="s">
        <v>2271</v>
      </c>
      <c r="G920" s="1103"/>
      <c r="H920" s="1103"/>
      <c r="I920" s="1103"/>
      <c r="J920" s="1103"/>
      <c r="K920" s="1103"/>
      <c r="L920" s="1103"/>
      <c r="M920" s="1103"/>
      <c r="N920" s="1103"/>
      <c r="O920" s="1103"/>
      <c r="P920" s="1103"/>
      <c r="Q920" s="1103"/>
      <c r="R920" s="1103"/>
      <c r="S920" s="1103"/>
      <c r="T920" s="1104"/>
      <c r="U920" s="1092" t="s">
        <v>124</v>
      </c>
      <c r="V920" s="1093"/>
      <c r="W920" s="1093"/>
      <c r="X920" s="1093"/>
      <c r="Y920" s="1093"/>
      <c r="Z920" s="1094"/>
      <c r="AA920" s="1095"/>
      <c r="AB920" s="1096"/>
      <c r="AC920" s="1096"/>
      <c r="AD920" s="1096"/>
      <c r="AE920" s="1096"/>
      <c r="AF920" s="109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89" t="s">
        <v>2259</v>
      </c>
      <c r="G921" s="1090"/>
      <c r="H921" s="1090"/>
      <c r="I921" s="1090"/>
      <c r="J921" s="1090"/>
      <c r="K921" s="1090"/>
      <c r="L921" s="1090"/>
      <c r="M921" s="1090"/>
      <c r="N921" s="1090"/>
      <c r="O921" s="1090"/>
      <c r="P921" s="1090"/>
      <c r="Q921" s="1090"/>
      <c r="R921" s="1090"/>
      <c r="S921" s="1090"/>
      <c r="T921" s="1091"/>
      <c r="U921" s="1158" t="s">
        <v>124</v>
      </c>
      <c r="V921" s="1159"/>
      <c r="W921" s="1159"/>
      <c r="X921" s="1159"/>
      <c r="Y921" s="1159"/>
      <c r="Z921" s="1160"/>
      <c r="AA921" s="1111"/>
      <c r="AB921" s="1112"/>
      <c r="AC921" s="1112"/>
      <c r="AD921" s="1112"/>
      <c r="AE921" s="1112"/>
      <c r="AF921" s="111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89" t="s">
        <v>2263</v>
      </c>
      <c r="G922" s="1090"/>
      <c r="H922" s="1090"/>
      <c r="I922" s="1090"/>
      <c r="J922" s="1090"/>
      <c r="K922" s="1090"/>
      <c r="L922" s="1090"/>
      <c r="M922" s="1090"/>
      <c r="N922" s="1090"/>
      <c r="O922" s="1090"/>
      <c r="P922" s="1090"/>
      <c r="Q922" s="1090"/>
      <c r="R922" s="1090"/>
      <c r="S922" s="1090"/>
      <c r="T922" s="1091"/>
      <c r="U922" s="1158" t="s">
        <v>108</v>
      </c>
      <c r="V922" s="1159"/>
      <c r="W922" s="1159"/>
      <c r="X922" s="1159"/>
      <c r="Y922" s="1159"/>
      <c r="Z922" s="1160"/>
      <c r="AA922" s="1111">
        <v>8189315</v>
      </c>
      <c r="AB922" s="1112"/>
      <c r="AC922" s="1112"/>
      <c r="AD922" s="1112"/>
      <c r="AE922" s="1112"/>
      <c r="AF922" s="111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89" t="s">
        <v>2260</v>
      </c>
      <c r="G923" s="1090"/>
      <c r="H923" s="1090"/>
      <c r="I923" s="1090"/>
      <c r="J923" s="1090"/>
      <c r="K923" s="1090"/>
      <c r="L923" s="1090"/>
      <c r="M923" s="1090"/>
      <c r="N923" s="1090"/>
      <c r="O923" s="1090"/>
      <c r="P923" s="1090"/>
      <c r="Q923" s="1090"/>
      <c r="R923" s="1090"/>
      <c r="S923" s="1090"/>
      <c r="T923" s="1091"/>
      <c r="U923" s="1158" t="s">
        <v>124</v>
      </c>
      <c r="V923" s="1159"/>
      <c r="W923" s="1159"/>
      <c r="X923" s="1159"/>
      <c r="Y923" s="1159"/>
      <c r="Z923" s="1160"/>
      <c r="AA923" s="1111"/>
      <c r="AB923" s="1112"/>
      <c r="AC923" s="1112"/>
      <c r="AD923" s="1112"/>
      <c r="AE923" s="1112"/>
      <c r="AF923" s="111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102" t="s">
        <v>1891</v>
      </c>
      <c r="G924" s="1103"/>
      <c r="H924" s="1103"/>
      <c r="I924" s="1103"/>
      <c r="J924" s="1103"/>
      <c r="K924" s="1103"/>
      <c r="L924" s="1103"/>
      <c r="M924" s="1103"/>
      <c r="N924" s="1103"/>
      <c r="O924" s="1103"/>
      <c r="P924" s="1103"/>
      <c r="Q924" s="1103"/>
      <c r="R924" s="1103"/>
      <c r="S924" s="1103"/>
      <c r="T924" s="1104"/>
      <c r="U924" s="1092" t="s">
        <v>124</v>
      </c>
      <c r="V924" s="1093"/>
      <c r="W924" s="1093"/>
      <c r="X924" s="1093"/>
      <c r="Y924" s="1093"/>
      <c r="Z924" s="1094"/>
      <c r="AA924" s="1095"/>
      <c r="AB924" s="1096"/>
      <c r="AC924" s="1096"/>
      <c r="AD924" s="1096"/>
      <c r="AE924" s="1096"/>
      <c r="AF924" s="109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102" t="s">
        <v>2272</v>
      </c>
      <c r="G925" s="1103"/>
      <c r="H925" s="1103"/>
      <c r="I925" s="1103"/>
      <c r="J925" s="1103"/>
      <c r="K925" s="1103"/>
      <c r="L925" s="1103"/>
      <c r="M925" s="1103"/>
      <c r="N925" s="1103"/>
      <c r="O925" s="1103"/>
      <c r="P925" s="1103"/>
      <c r="Q925" s="1103"/>
      <c r="R925" s="1103"/>
      <c r="S925" s="1103"/>
      <c r="T925" s="1104"/>
      <c r="U925" s="1092" t="s">
        <v>124</v>
      </c>
      <c r="V925" s="1093"/>
      <c r="W925" s="1093"/>
      <c r="X925" s="1093"/>
      <c r="Y925" s="1093"/>
      <c r="Z925" s="1094"/>
      <c r="AA925" s="1095"/>
      <c r="AB925" s="1096"/>
      <c r="AC925" s="1096"/>
      <c r="AD925" s="1096"/>
      <c r="AE925" s="1096"/>
      <c r="AF925" s="109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102" t="s">
        <v>1892</v>
      </c>
      <c r="G926" s="1103"/>
      <c r="H926" s="1103"/>
      <c r="I926" s="1103"/>
      <c r="J926" s="1103"/>
      <c r="K926" s="1103"/>
      <c r="L926" s="1103"/>
      <c r="M926" s="1103"/>
      <c r="N926" s="1103"/>
      <c r="O926" s="1103"/>
      <c r="P926" s="1103"/>
      <c r="Q926" s="1103"/>
      <c r="R926" s="1103"/>
      <c r="S926" s="1103"/>
      <c r="T926" s="1104"/>
      <c r="U926" s="1092" t="s">
        <v>124</v>
      </c>
      <c r="V926" s="1093"/>
      <c r="W926" s="1093"/>
      <c r="X926" s="1093"/>
      <c r="Y926" s="1093"/>
      <c r="Z926" s="1094"/>
      <c r="AA926" s="1095"/>
      <c r="AB926" s="1096"/>
      <c r="AC926" s="1096"/>
      <c r="AD926" s="1096"/>
      <c r="AE926" s="1096"/>
      <c r="AF926" s="109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102" t="s">
        <v>156</v>
      </c>
      <c r="G927" s="1103"/>
      <c r="H927" s="1103"/>
      <c r="I927" s="1103"/>
      <c r="J927" s="1103"/>
      <c r="K927" s="1103"/>
      <c r="L927" s="1103"/>
      <c r="M927" s="1103"/>
      <c r="N927" s="1103"/>
      <c r="O927" s="1103"/>
      <c r="P927" s="1103"/>
      <c r="Q927" s="1103"/>
      <c r="R927" s="1103"/>
      <c r="S927" s="1103"/>
      <c r="T927" s="1104"/>
      <c r="U927" s="1092" t="s">
        <v>124</v>
      </c>
      <c r="V927" s="1093"/>
      <c r="W927" s="1093"/>
      <c r="X927" s="1093"/>
      <c r="Y927" s="1093"/>
      <c r="Z927" s="1094"/>
      <c r="AA927" s="1095"/>
      <c r="AB927" s="1096"/>
      <c r="AC927" s="1096"/>
      <c r="AD927" s="1096"/>
      <c r="AE927" s="1096"/>
      <c r="AF927" s="109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102" t="s">
        <v>2270</v>
      </c>
      <c r="G928" s="1103"/>
      <c r="H928" s="1103"/>
      <c r="I928" s="1103"/>
      <c r="J928" s="1103"/>
      <c r="K928" s="1103"/>
      <c r="L928" s="1103"/>
      <c r="M928" s="1103"/>
      <c r="N928" s="1103"/>
      <c r="O928" s="1103"/>
      <c r="P928" s="1103"/>
      <c r="Q928" s="1103"/>
      <c r="R928" s="1103"/>
      <c r="S928" s="1103"/>
      <c r="T928" s="1104"/>
      <c r="U928" s="1092" t="s">
        <v>124</v>
      </c>
      <c r="V928" s="1093"/>
      <c r="W928" s="1093"/>
      <c r="X928" s="1093"/>
      <c r="Y928" s="1093"/>
      <c r="Z928" s="1094"/>
      <c r="AA928" s="1095"/>
      <c r="AB928" s="1096"/>
      <c r="AC928" s="1096"/>
      <c r="AD928" s="1096"/>
      <c r="AE928" s="1096"/>
      <c r="AF928" s="109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392" t="s">
        <v>482</v>
      </c>
      <c r="Q929" s="1093"/>
      <c r="R929" s="1093"/>
      <c r="S929" s="1093"/>
      <c r="T929" s="1094"/>
      <c r="U929" s="1092" t="s">
        <v>124</v>
      </c>
      <c r="V929" s="1093"/>
      <c r="W929" s="1093"/>
      <c r="X929" s="1093"/>
      <c r="Y929" s="1093"/>
      <c r="Z929" s="1094"/>
      <c r="AA929" s="1095"/>
      <c r="AB929" s="1096"/>
      <c r="AC929" s="1096"/>
      <c r="AD929" s="1096"/>
      <c r="AE929" s="1096"/>
      <c r="AF929" s="109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89" t="s">
        <v>2262</v>
      </c>
      <c r="G930" s="1090"/>
      <c r="H930" s="1091"/>
      <c r="I930" s="1161" t="s">
        <v>562</v>
      </c>
      <c r="J930" s="1162"/>
      <c r="K930" s="1162"/>
      <c r="L930" s="1162"/>
      <c r="M930" s="1162"/>
      <c r="N930" s="1162"/>
      <c r="O930" s="1162"/>
      <c r="P930" s="1162"/>
      <c r="Q930" s="1162"/>
      <c r="R930" s="1162"/>
      <c r="S930" s="1162"/>
      <c r="T930" s="1163"/>
      <c r="U930" s="1092" t="s">
        <v>124</v>
      </c>
      <c r="V930" s="1093"/>
      <c r="W930" s="1093"/>
      <c r="X930" s="1093"/>
      <c r="Y930" s="1093"/>
      <c r="Z930" s="1094"/>
      <c r="AA930" s="1095"/>
      <c r="AB930" s="1096"/>
      <c r="AC930" s="1096"/>
      <c r="AD930" s="1096"/>
      <c r="AE930" s="1096"/>
      <c r="AF930" s="109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89" t="s">
        <v>373</v>
      </c>
      <c r="G931" s="1090"/>
      <c r="H931" s="1091"/>
      <c r="I931" s="1161" t="s">
        <v>562</v>
      </c>
      <c r="J931" s="1162"/>
      <c r="K931" s="1162"/>
      <c r="L931" s="1162"/>
      <c r="M931" s="1162"/>
      <c r="N931" s="1162"/>
      <c r="O931" s="1162"/>
      <c r="P931" s="1162"/>
      <c r="Q931" s="1162"/>
      <c r="R931" s="1162"/>
      <c r="S931" s="1162"/>
      <c r="T931" s="1163"/>
      <c r="U931" s="1092" t="s">
        <v>124</v>
      </c>
      <c r="V931" s="1093"/>
      <c r="W931" s="1093"/>
      <c r="X931" s="1093"/>
      <c r="Y931" s="1093"/>
      <c r="Z931" s="1094"/>
      <c r="AA931" s="1095"/>
      <c r="AB931" s="1096"/>
      <c r="AC931" s="1096"/>
      <c r="AD931" s="1096"/>
      <c r="AE931" s="1096"/>
      <c r="AF931" s="109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89" t="s">
        <v>826</v>
      </c>
      <c r="G932" s="1090"/>
      <c r="H932" s="1091"/>
      <c r="I932" s="1161" t="s">
        <v>562</v>
      </c>
      <c r="J932" s="1162"/>
      <c r="K932" s="1162"/>
      <c r="L932" s="1162"/>
      <c r="M932" s="1162"/>
      <c r="N932" s="1162"/>
      <c r="O932" s="1162"/>
      <c r="P932" s="1162"/>
      <c r="Q932" s="1162"/>
      <c r="R932" s="1162"/>
      <c r="S932" s="1162"/>
      <c r="T932" s="1163"/>
      <c r="U932" s="1092" t="s">
        <v>124</v>
      </c>
      <c r="V932" s="1093"/>
      <c r="W932" s="1093"/>
      <c r="X932" s="1093"/>
      <c r="Y932" s="1093"/>
      <c r="Z932" s="1094"/>
      <c r="AA932" s="1095"/>
      <c r="AB932" s="1096"/>
      <c r="AC932" s="1096"/>
      <c r="AD932" s="1096"/>
      <c r="AE932" s="1096"/>
      <c r="AF932" s="109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89" t="s">
        <v>283</v>
      </c>
      <c r="G933" s="1090"/>
      <c r="H933" s="1091"/>
      <c r="I933" s="1161" t="s">
        <v>562</v>
      </c>
      <c r="J933" s="1162"/>
      <c r="K933" s="1162"/>
      <c r="L933" s="1162"/>
      <c r="M933" s="1162"/>
      <c r="N933" s="1162"/>
      <c r="O933" s="1162"/>
      <c r="P933" s="1162"/>
      <c r="Q933" s="1162"/>
      <c r="R933" s="1162"/>
      <c r="S933" s="1162"/>
      <c r="T933" s="1163"/>
      <c r="U933" s="1092" t="s">
        <v>482</v>
      </c>
      <c r="V933" s="1093"/>
      <c r="W933" s="1093"/>
      <c r="X933" s="1093"/>
      <c r="Y933" s="1093"/>
      <c r="Z933" s="1094"/>
      <c r="AA933" s="1095"/>
      <c r="AB933" s="1096"/>
      <c r="AC933" s="1096"/>
      <c r="AD933" s="1096"/>
      <c r="AE933" s="1096"/>
      <c r="AF933" s="109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89" t="s">
        <v>283</v>
      </c>
      <c r="G934" s="1090"/>
      <c r="H934" s="1091"/>
      <c r="I934" s="1161" t="s">
        <v>562</v>
      </c>
      <c r="J934" s="1162"/>
      <c r="K934" s="1162"/>
      <c r="L934" s="1162"/>
      <c r="M934" s="1162"/>
      <c r="N934" s="1162"/>
      <c r="O934" s="1162"/>
      <c r="P934" s="1162"/>
      <c r="Q934" s="1162"/>
      <c r="R934" s="1162"/>
      <c r="S934" s="1162"/>
      <c r="T934" s="1163"/>
      <c r="U934" s="1092" t="s">
        <v>124</v>
      </c>
      <c r="V934" s="1093"/>
      <c r="W934" s="1093"/>
      <c r="X934" s="1093"/>
      <c r="Y934" s="1093"/>
      <c r="Z934" s="1094"/>
      <c r="AA934" s="1095"/>
      <c r="AB934" s="1096"/>
      <c r="AC934" s="1096"/>
      <c r="AD934" s="1096"/>
      <c r="AE934" s="1096"/>
      <c r="AF934" s="109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211"/>
      <c r="M939" s="1212"/>
      <c r="N939" s="1212"/>
      <c r="O939" s="1212"/>
      <c r="P939" s="1212"/>
      <c r="Q939" s="1212"/>
      <c r="R939" s="1212"/>
      <c r="S939" s="1213"/>
      <c r="U939" s="72" t="s">
        <v>827</v>
      </c>
      <c r="V939" s="9"/>
      <c r="W939" s="9"/>
      <c r="X939" s="9"/>
      <c r="Y939" s="9"/>
      <c r="Z939" s="9"/>
      <c r="AA939" s="9"/>
      <c r="AB939" s="9"/>
      <c r="AC939" s="9"/>
      <c r="AD939" s="52"/>
      <c r="AE939" s="1550"/>
      <c r="AF939" s="1415"/>
      <c r="AG939" s="1415"/>
      <c r="AH939" s="1415"/>
      <c r="AI939" s="1415"/>
      <c r="AJ939" s="1415"/>
      <c r="AK939" s="1416"/>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211"/>
      <c r="M940" s="1212"/>
      <c r="N940" s="1212"/>
      <c r="O940" s="1212"/>
      <c r="P940" s="1212"/>
      <c r="Q940" s="1212"/>
      <c r="R940" s="1212"/>
      <c r="S940" s="1213"/>
      <c r="U940" s="72" t="s">
        <v>828</v>
      </c>
      <c r="V940" s="9"/>
      <c r="W940" s="9"/>
      <c r="X940" s="9"/>
      <c r="Y940" s="9"/>
      <c r="Z940" s="9"/>
      <c r="AA940" s="9"/>
      <c r="AB940" s="9"/>
      <c r="AC940" s="9"/>
      <c r="AD940" s="52"/>
      <c r="AE940" s="1551"/>
      <c r="AF940" s="1552"/>
      <c r="AG940" s="1552"/>
      <c r="AH940" s="1552"/>
      <c r="AI940" s="1552"/>
      <c r="AJ940" s="1552"/>
      <c r="AK940" s="1553"/>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410" t="s">
        <v>79</v>
      </c>
      <c r="M941" s="1411"/>
      <c r="N941" s="1411"/>
      <c r="O941" s="1411"/>
      <c r="P941" s="1411"/>
      <c r="Q941" s="1411"/>
      <c r="R941" s="1411"/>
      <c r="S941" s="1412"/>
      <c r="U941" s="72" t="s">
        <v>1108</v>
      </c>
      <c r="V941" s="9"/>
      <c r="W941" s="9"/>
      <c r="AE941" s="1410" t="s">
        <v>79</v>
      </c>
      <c r="AF941" s="1411"/>
      <c r="AG941" s="1411"/>
      <c r="AH941" s="1411"/>
      <c r="AI941" s="1411"/>
      <c r="AJ941" s="1411"/>
      <c r="AK941" s="1412"/>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47"/>
      <c r="M942" s="1548"/>
      <c r="N942" s="1548"/>
      <c r="O942" s="1548"/>
      <c r="P942" s="1548"/>
      <c r="Q942" s="1548"/>
      <c r="R942" s="1548"/>
      <c r="S942" s="1549"/>
      <c r="U942" s="72" t="s">
        <v>829</v>
      </c>
      <c r="V942" s="9"/>
      <c r="W942" s="9"/>
      <c r="X942" s="9"/>
      <c r="Y942" s="9"/>
      <c r="Z942" s="9"/>
      <c r="AA942" s="9"/>
      <c r="AB942" s="9"/>
      <c r="AC942" s="9"/>
      <c r="AD942" s="52"/>
      <c r="AE942" s="1547"/>
      <c r="AF942" s="1548"/>
      <c r="AG942" s="1548"/>
      <c r="AH942" s="1548"/>
      <c r="AI942" s="1548"/>
      <c r="AJ942" s="1548"/>
      <c r="AK942" s="154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55"/>
      <c r="M943" s="1556"/>
      <c r="N943" s="1556"/>
      <c r="O943" s="1556"/>
      <c r="P943" s="1556"/>
      <c r="Q943" s="1556"/>
      <c r="R943" s="1556"/>
      <c r="S943" s="1557"/>
      <c r="U943" s="72" t="s">
        <v>830</v>
      </c>
      <c r="V943" s="9"/>
      <c r="W943" s="9"/>
      <c r="X943" s="9"/>
      <c r="Y943" s="9"/>
      <c r="Z943" s="9"/>
      <c r="AA943" s="9"/>
      <c r="AB943" s="9"/>
      <c r="AC943" s="9"/>
      <c r="AD943" s="52"/>
      <c r="AE943" s="1525"/>
      <c r="AF943" s="1418"/>
      <c r="AG943" s="1418"/>
      <c r="AH943" s="1418"/>
      <c r="AI943" s="1418"/>
      <c r="AJ943" s="1418"/>
      <c r="AK943" s="1419"/>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115"/>
      <c r="M944" s="1116"/>
      <c r="N944" s="1116"/>
      <c r="O944" s="1116"/>
      <c r="P944" s="1116"/>
      <c r="Q944" s="1116"/>
      <c r="R944" s="1116"/>
      <c r="S944" s="1117"/>
      <c r="U944" s="72" t="s">
        <v>831</v>
      </c>
      <c r="V944" s="9"/>
      <c r="W944" s="9"/>
      <c r="X944" s="9"/>
      <c r="Y944" s="9"/>
      <c r="Z944" s="9"/>
      <c r="AA944" s="9"/>
      <c r="AB944" s="9"/>
      <c r="AC944" s="9"/>
      <c r="AD944" s="52"/>
      <c r="AE944" s="1095"/>
      <c r="AF944" s="1096"/>
      <c r="AG944" s="1096"/>
      <c r="AH944" s="1096"/>
      <c r="AI944" s="1096"/>
      <c r="AJ944" s="1096"/>
      <c r="AK944" s="109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115" t="s">
        <v>2203</v>
      </c>
      <c r="M945" s="1116"/>
      <c r="N945" s="1116"/>
      <c r="O945" s="1116"/>
      <c r="P945" s="1116"/>
      <c r="Q945" s="1116"/>
      <c r="R945" s="1116"/>
      <c r="S945" s="1117"/>
      <c r="U945" s="72" t="s">
        <v>832</v>
      </c>
      <c r="V945" s="9"/>
      <c r="W945" s="9"/>
      <c r="X945" s="9"/>
      <c r="Y945" s="9"/>
      <c r="Z945" s="9"/>
      <c r="AA945" s="9"/>
      <c r="AB945" s="9"/>
      <c r="AC945" s="9"/>
      <c r="AD945" s="52"/>
      <c r="AE945" s="1095"/>
      <c r="AF945" s="1096"/>
      <c r="AG945" s="1096"/>
      <c r="AH945" s="1096"/>
      <c r="AI945" s="1096"/>
      <c r="AJ945" s="1096"/>
      <c r="AK945" s="109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555"/>
      <c r="M946" s="1556"/>
      <c r="N946" s="1556"/>
      <c r="O946" s="1556"/>
      <c r="P946" s="1556"/>
      <c r="Q946" s="1556"/>
      <c r="R946" s="1556"/>
      <c r="S946" s="1557"/>
      <c r="U946" s="212" t="s">
        <v>1959</v>
      </c>
      <c r="V946" s="9"/>
      <c r="W946" s="9"/>
      <c r="X946" s="9"/>
      <c r="Y946" s="9"/>
      <c r="Z946" s="9"/>
      <c r="AA946" s="9"/>
      <c r="AB946" s="9"/>
      <c r="AC946" s="9"/>
      <c r="AD946" s="52"/>
      <c r="AE946" s="1555"/>
      <c r="AF946" s="1556"/>
      <c r="AG946" s="1556"/>
      <c r="AH946" s="1556"/>
      <c r="AI946" s="1556"/>
      <c r="AJ946" s="1556"/>
      <c r="AK946" s="155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50"/>
      <c r="N951" s="1251"/>
      <c r="O951" s="1251"/>
      <c r="P951" s="1251"/>
      <c r="Q951" s="1251"/>
      <c r="R951" s="1251"/>
      <c r="S951" s="1252"/>
      <c r="T951" s="72" t="s">
        <v>950</v>
      </c>
      <c r="U951" s="9"/>
      <c r="V951" s="9"/>
      <c r="W951" s="9"/>
      <c r="X951" s="9"/>
      <c r="Y951" s="9"/>
      <c r="Z951" s="52"/>
      <c r="AA951" s="1250"/>
      <c r="AB951" s="1251"/>
      <c r="AC951" s="1251"/>
      <c r="AD951" s="1251"/>
      <c r="AE951" s="1251"/>
      <c r="AF951" s="1251"/>
      <c r="AG951" s="1252"/>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50"/>
      <c r="N952" s="1251"/>
      <c r="O952" s="1251"/>
      <c r="P952" s="1251"/>
      <c r="Q952" s="1251"/>
      <c r="R952" s="1251"/>
      <c r="S952" s="1252"/>
      <c r="T952" s="72" t="s">
        <v>949</v>
      </c>
      <c r="U952" s="9"/>
      <c r="V952" s="9"/>
      <c r="W952" s="9"/>
      <c r="X952" s="9"/>
      <c r="Y952" s="9"/>
      <c r="Z952" s="52"/>
      <c r="AA952" s="1250"/>
      <c r="AB952" s="1251"/>
      <c r="AC952" s="1251"/>
      <c r="AD952" s="1251"/>
      <c r="AE952" s="1251"/>
      <c r="AF952" s="1251"/>
      <c r="AG952" s="125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20" t="s">
        <v>124</v>
      </c>
      <c r="N953" s="1085"/>
      <c r="O953" s="1085"/>
      <c r="P953" s="1085"/>
      <c r="Q953" s="1085"/>
      <c r="R953" s="1085"/>
      <c r="S953" s="1321"/>
      <c r="T953" s="8" t="s">
        <v>566</v>
      </c>
      <c r="U953" s="9"/>
      <c r="V953" s="9"/>
      <c r="W953" s="9"/>
      <c r="X953" s="9"/>
      <c r="Y953" s="9"/>
      <c r="Z953" s="52"/>
      <c r="AA953" s="1250"/>
      <c r="AB953" s="1251"/>
      <c r="AC953" s="1251"/>
      <c r="AD953" s="1251"/>
      <c r="AE953" s="1251"/>
      <c r="AF953" s="1251"/>
      <c r="AG953" s="125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50"/>
      <c r="N954" s="1251"/>
      <c r="O954" s="1251"/>
      <c r="P954" s="1251"/>
      <c r="Q954" s="1251"/>
      <c r="R954" s="1251"/>
      <c r="S954" s="1252"/>
      <c r="T954" s="8" t="s">
        <v>567</v>
      </c>
      <c r="U954" s="9"/>
      <c r="V954" s="9"/>
      <c r="W954" s="9"/>
      <c r="X954" s="9"/>
      <c r="Y954" s="9"/>
      <c r="Z954" s="52"/>
      <c r="AA954" s="1250"/>
      <c r="AB954" s="1251"/>
      <c r="AC954" s="1251"/>
      <c r="AD954" s="1251"/>
      <c r="AE954" s="1251"/>
      <c r="AF954" s="1251"/>
      <c r="AG954" s="125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50"/>
      <c r="N955" s="1251"/>
      <c r="O955" s="1251"/>
      <c r="P955" s="1251"/>
      <c r="Q955" s="1251"/>
      <c r="R955" s="1251"/>
      <c r="S955" s="1252"/>
      <c r="T955" s="8" t="s">
        <v>493</v>
      </c>
      <c r="U955" s="9"/>
      <c r="V955" s="9"/>
      <c r="W955" s="9"/>
      <c r="X955" s="9"/>
      <c r="Y955" s="9"/>
      <c r="Z955" s="52"/>
      <c r="AA955" s="1250"/>
      <c r="AB955" s="1251"/>
      <c r="AC955" s="1251"/>
      <c r="AD955" s="1251"/>
      <c r="AE955" s="1251"/>
      <c r="AF955" s="1251"/>
      <c r="AG955" s="125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410" t="s">
        <v>79</v>
      </c>
      <c r="N956" s="1411"/>
      <c r="O956" s="1411"/>
      <c r="P956" s="1411"/>
      <c r="Q956" s="1411"/>
      <c r="R956" s="1411"/>
      <c r="S956" s="1412"/>
      <c r="T956" s="1247"/>
      <c r="U956" s="1248"/>
      <c r="V956" s="1248"/>
      <c r="W956" s="1248"/>
      <c r="X956" s="1248"/>
      <c r="Y956" s="1248"/>
      <c r="Z956" s="1249"/>
      <c r="AA956" s="1250"/>
      <c r="AB956" s="1251"/>
      <c r="AC956" s="1251"/>
      <c r="AD956" s="1251"/>
      <c r="AE956" s="1251"/>
      <c r="AF956" s="1251"/>
      <c r="AG956" s="125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50"/>
      <c r="N957" s="1251"/>
      <c r="O957" s="1251"/>
      <c r="P957" s="1251"/>
      <c r="Q957" s="1251"/>
      <c r="R957" s="1251"/>
      <c r="S957" s="1252"/>
      <c r="T957" s="1247"/>
      <c r="U957" s="1248"/>
      <c r="V957" s="1248"/>
      <c r="W957" s="1248"/>
      <c r="X957" s="1248"/>
      <c r="Y957" s="1248"/>
      <c r="Z957" s="1249"/>
      <c r="AA957" s="1250"/>
      <c r="AB957" s="1251"/>
      <c r="AC957" s="1251"/>
      <c r="AD957" s="1251"/>
      <c r="AE957" s="1251"/>
      <c r="AF957" s="1251"/>
      <c r="AG957" s="1252"/>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20" t="s">
        <v>482</v>
      </c>
      <c r="P958" s="1321"/>
      <c r="Q958" s="144"/>
      <c r="R958" s="144"/>
      <c r="S958" s="145"/>
      <c r="T958" s="6" t="s">
        <v>283</v>
      </c>
      <c r="U958" s="7"/>
      <c r="V958" s="7"/>
      <c r="W958" s="1481" t="s">
        <v>562</v>
      </c>
      <c r="X958" s="1482"/>
      <c r="Y958" s="1482"/>
      <c r="Z958" s="1482"/>
      <c r="AA958" s="1482"/>
      <c r="AB958" s="1482"/>
      <c r="AC958" s="1482"/>
      <c r="AD958" s="1482"/>
      <c r="AE958" s="1482"/>
      <c r="AF958" s="1482"/>
      <c r="AG958" s="1483"/>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58" t="s">
        <v>226</v>
      </c>
      <c r="G959" s="1088"/>
      <c r="H959" s="1088"/>
      <c r="I959" s="1088"/>
      <c r="J959" s="1088"/>
      <c r="K959" s="1088"/>
      <c r="L959" s="1088"/>
      <c r="M959" s="1250"/>
      <c r="N959" s="1251"/>
      <c r="O959" s="1251"/>
      <c r="P959" s="1251"/>
      <c r="Q959" s="1251"/>
      <c r="R959" s="1251"/>
      <c r="S959" s="1252"/>
      <c r="T959" s="53"/>
      <c r="U959" s="54"/>
      <c r="V959" s="54"/>
      <c r="W959" s="54"/>
      <c r="X959" s="54"/>
      <c r="Y959" s="54"/>
      <c r="Z959" s="224" t="s">
        <v>227</v>
      </c>
      <c r="AA959" s="1484"/>
      <c r="AB959" s="1485"/>
      <c r="AC959" s="1485"/>
      <c r="AD959" s="1485"/>
      <c r="AE959" s="1485"/>
      <c r="AF959" s="1485"/>
      <c r="AG959" s="148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123" t="s">
        <v>129</v>
      </c>
      <c r="B963" s="1123"/>
      <c r="C963" s="1123"/>
      <c r="D963" s="1123"/>
      <c r="E963" s="1123"/>
      <c r="F963" s="1123"/>
      <c r="G963" s="1123"/>
      <c r="H963" s="1123"/>
      <c r="I963" s="1123"/>
      <c r="J963" s="1123"/>
      <c r="K963" s="1123"/>
      <c r="L963" s="1123"/>
      <c r="M963" s="1123"/>
      <c r="N963" s="1123"/>
      <c r="O963" s="1123"/>
      <c r="P963" s="1123"/>
      <c r="Q963" s="1123"/>
      <c r="R963" s="1123"/>
      <c r="S963" s="1123"/>
      <c r="T963" s="1123"/>
      <c r="U963" s="1123"/>
      <c r="V963" s="1123"/>
      <c r="W963" s="1123"/>
      <c r="X963" s="1123"/>
      <c r="Y963" s="1123"/>
      <c r="Z963" s="1123"/>
      <c r="AA963" s="1123"/>
      <c r="AB963" s="1123"/>
      <c r="AC963" s="1123"/>
      <c r="AD963" s="1123"/>
      <c r="AE963" s="1123"/>
      <c r="AF963" s="1123"/>
      <c r="AG963" s="1123"/>
      <c r="AH963" s="1123"/>
      <c r="AI963" s="1123"/>
      <c r="AJ963" s="1123"/>
      <c r="AK963" s="1123"/>
      <c r="AL963" s="1123"/>
      <c r="AM963" s="1123"/>
      <c r="AN963" s="1123"/>
      <c r="AO963" s="1123"/>
      <c r="AP963" s="1123"/>
      <c r="AQ963" s="1123"/>
      <c r="AR963" s="1123"/>
      <c r="AS963" s="1123"/>
      <c r="AT963" s="1123"/>
    </row>
    <row r="964" spans="1:97" s="956" customFormat="1" ht="12.95" customHeight="1">
      <c r="A964" s="1123"/>
      <c r="B964" s="1123"/>
      <c r="C964" s="1123"/>
      <c r="D964" s="1123"/>
      <c r="E964" s="1123"/>
      <c r="F964" s="1123"/>
      <c r="G964" s="1123"/>
      <c r="H964" s="1123"/>
      <c r="I964" s="1123"/>
      <c r="J964" s="1123"/>
      <c r="K964" s="1123"/>
      <c r="L964" s="1123"/>
      <c r="M964" s="1123"/>
      <c r="N964" s="1123"/>
      <c r="O964" s="1123"/>
      <c r="P964" s="1123"/>
      <c r="Q964" s="1123"/>
      <c r="R964" s="1123"/>
      <c r="S964" s="1123"/>
      <c r="T964" s="1123"/>
      <c r="U964" s="1123"/>
      <c r="V964" s="1123"/>
      <c r="W964" s="1123"/>
      <c r="X964" s="1123"/>
      <c r="Y964" s="1123"/>
      <c r="Z964" s="1123"/>
      <c r="AA964" s="1123"/>
      <c r="AB964" s="1123"/>
      <c r="AC964" s="1123"/>
      <c r="AD964" s="1123"/>
      <c r="AE964" s="1123"/>
      <c r="AF964" s="1123"/>
      <c r="AG964" s="1123"/>
      <c r="AH964" s="1123"/>
      <c r="AI964" s="1123"/>
      <c r="AJ964" s="1123"/>
      <c r="AK964" s="1123"/>
      <c r="AL964" s="1123"/>
      <c r="AM964" s="1123"/>
      <c r="AN964" s="1123"/>
      <c r="AO964" s="1123"/>
      <c r="AP964" s="1123"/>
      <c r="AQ964" s="1123"/>
      <c r="AR964" s="1123"/>
      <c r="AS964" s="1123"/>
      <c r="AT964" s="112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78" t="s">
        <v>424</v>
      </c>
      <c r="E968" s="1479"/>
      <c r="F968" s="1479"/>
      <c r="G968" s="1479"/>
      <c r="H968" s="1479"/>
      <c r="I968" s="1479"/>
      <c r="J968" s="1479"/>
      <c r="K968" s="1479"/>
      <c r="L968" s="1479"/>
      <c r="M968" s="1479"/>
      <c r="N968" s="1479"/>
      <c r="O968" s="1479"/>
      <c r="P968" s="1479"/>
      <c r="Q968" s="1480"/>
      <c r="R968" s="1478" t="s">
        <v>425</v>
      </c>
      <c r="S968" s="1479"/>
      <c r="T968" s="1479"/>
      <c r="U968" s="1479"/>
      <c r="V968" s="1479"/>
      <c r="W968" s="1479"/>
      <c r="X968" s="1479"/>
      <c r="Y968" s="1479"/>
      <c r="Z968" s="1479"/>
      <c r="AA968" s="1480"/>
      <c r="AB968" s="1478" t="s">
        <v>426</v>
      </c>
      <c r="AC968" s="1479"/>
      <c r="AD968" s="1479"/>
      <c r="AE968" s="1479"/>
      <c r="AF968" s="1479"/>
      <c r="AG968" s="1479"/>
      <c r="AH968" s="1479"/>
      <c r="AI968" s="1480"/>
      <c r="AJ968" s="1478" t="s">
        <v>427</v>
      </c>
      <c r="AK968" s="1479"/>
      <c r="AL968" s="1479"/>
      <c r="AM968" s="1479"/>
      <c r="AN968" s="1479"/>
      <c r="AO968" s="1479"/>
      <c r="AP968" s="1479"/>
      <c r="AQ968" s="148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471" t="s">
        <v>419</v>
      </c>
      <c r="E969" s="1472"/>
      <c r="F969" s="1472"/>
      <c r="G969" s="1472"/>
      <c r="H969" s="1472"/>
      <c r="I969" s="1472"/>
      <c r="J969" s="1472"/>
      <c r="K969" s="1472"/>
      <c r="L969" s="1472"/>
      <c r="M969" s="1472"/>
      <c r="N969" s="1472"/>
      <c r="O969" s="1472"/>
      <c r="P969" s="1472"/>
      <c r="Q969" s="1473"/>
      <c r="R969" s="1474">
        <f>IF(ISNA(IF($BA$827="4%",(INDEX($BC$833:$BG$889,MATCH($BO$833,$BB$842:$BB$899,0),MATCH(D969,$BC$830:$BG$830,0))),(INDEX($BJ$842:$BN$899,MATCH($BO$833,$BI$842:$BI$899,0),MATCH(D969,$BJ$840:$BN$840,0))))),0,IF($BA$827="4%",(INDEX($BC$833:$BG$889,MATCH($BO$833,$BB$842:$BB$899,0),MATCH(D969,$BC$830:$BG$830,0))),(INDEX($BJ$842:$BN$899,MATCH($BO$833,$BI$842:$BI$899,0),MATCH(D969,$BJ$840:$BN$840,0)))))</f>
        <v>352022</v>
      </c>
      <c r="S969" s="1474"/>
      <c r="T969" s="1474"/>
      <c r="U969" s="1474"/>
      <c r="V969" s="1474"/>
      <c r="W969" s="1474"/>
      <c r="X969" s="1474"/>
      <c r="Y969" s="1474"/>
      <c r="Z969" s="1474"/>
      <c r="AA969" s="1474"/>
      <c r="AB969" s="1475">
        <f>BN659</f>
        <v>18</v>
      </c>
      <c r="AC969" s="1476"/>
      <c r="AD969" s="1476"/>
      <c r="AE969" s="1476"/>
      <c r="AF969" s="1476"/>
      <c r="AG969" s="1476"/>
      <c r="AH969" s="1476"/>
      <c r="AI969" s="1477"/>
      <c r="AJ969" s="1244">
        <f>IF(ISERROR((R969*AB969)),0,(R969*AB969))</f>
        <v>6336396</v>
      </c>
      <c r="AK969" s="1245"/>
      <c r="AL969" s="1245"/>
      <c r="AM969" s="1245"/>
      <c r="AN969" s="1245"/>
      <c r="AO969" s="1245"/>
      <c r="AP969" s="1245"/>
      <c r="AQ969" s="124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471" t="s">
        <v>442</v>
      </c>
      <c r="E970" s="1472"/>
      <c r="F970" s="1472"/>
      <c r="G970" s="1472"/>
      <c r="H970" s="1472"/>
      <c r="I970" s="1472"/>
      <c r="J970" s="1472"/>
      <c r="K970" s="1472"/>
      <c r="L970" s="1472"/>
      <c r="M970" s="1472"/>
      <c r="N970" s="1472"/>
      <c r="O970" s="1472"/>
      <c r="P970" s="1472"/>
      <c r="Q970" s="1473"/>
      <c r="R970" s="1474">
        <f>IF(ISNA(IF($BA$827="4%",(INDEX($BC$833:$BG$889,MATCH($BO$833,$BB$842:$BB$899,0),MATCH(D970,$BC$830:$BG$830,0))),(INDEX($BJ$842:$BN$899,MATCH($BO$833,$BI$842:$BI$899,0),MATCH(D970,$BJ$840:$BN$840,0))))),0,IF($BA$827="4%",(INDEX($BC$833:$BG$889,MATCH($BO$833,$BB$842:$BB$899,0),MATCH(D970,$BC$830:$BG$830,0))),(INDEX($BJ$842:$BN$899,MATCH($BO$833,$BI$842:$BI$899,0),MATCH(D970,$BJ$840:$BN$840,0)))))</f>
        <v>405878</v>
      </c>
      <c r="S970" s="1474"/>
      <c r="T970" s="1474"/>
      <c r="U970" s="1474"/>
      <c r="V970" s="1474"/>
      <c r="W970" s="1474"/>
      <c r="X970" s="1474"/>
      <c r="Y970" s="1474"/>
      <c r="Z970" s="1474"/>
      <c r="AA970" s="1474"/>
      <c r="AB970" s="1475">
        <f>BS659</f>
        <v>25</v>
      </c>
      <c r="AC970" s="1476"/>
      <c r="AD970" s="1476"/>
      <c r="AE970" s="1476"/>
      <c r="AF970" s="1476"/>
      <c r="AG970" s="1476"/>
      <c r="AH970" s="1476"/>
      <c r="AI970" s="1477"/>
      <c r="AJ970" s="1244">
        <f>IF(ISERROR((R970*AB970)),0,(R970*AB970))</f>
        <v>10146950</v>
      </c>
      <c r="AK970" s="1245"/>
      <c r="AL970" s="1245"/>
      <c r="AM970" s="1245"/>
      <c r="AN970" s="1245"/>
      <c r="AO970" s="1245"/>
      <c r="AP970" s="1245"/>
      <c r="AQ970" s="124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471" t="s">
        <v>780</v>
      </c>
      <c r="E971" s="1472"/>
      <c r="F971" s="1472"/>
      <c r="G971" s="1472"/>
      <c r="H971" s="1472"/>
      <c r="I971" s="1472"/>
      <c r="J971" s="1472"/>
      <c r="K971" s="1472"/>
      <c r="L971" s="1472"/>
      <c r="M971" s="1472"/>
      <c r="N971" s="1472"/>
      <c r="O971" s="1472"/>
      <c r="P971" s="1472"/>
      <c r="Q971" s="1473"/>
      <c r="R971" s="1474">
        <f>IF(ISNA(IF($BA$827="4%",(INDEX($BC$833:$BG$889,MATCH($BO$833,$BB$842:$BB$899,0),MATCH(D971,$BC$830:$BG$830,0))),(INDEX($BJ$842:$BN$899,MATCH($BO$833,$BI$842:$BI$899,0),MATCH(D971,$BJ$840:$BN$840,0))))),0,IF($BA$827="4%",(INDEX($BC$833:$BG$889,MATCH($BO$833,$BB$842:$BB$899,0),MATCH(D971,$BC$830:$BG$830,0))),(INDEX($BJ$842:$BN$899,MATCH($BO$833,$BI$842:$BI$899,0),MATCH(D971,$BJ$840:$BN$840,0)))))</f>
        <v>489600</v>
      </c>
      <c r="S971" s="1474"/>
      <c r="T971" s="1474"/>
      <c r="U971" s="1474"/>
      <c r="V971" s="1474"/>
      <c r="W971" s="1474"/>
      <c r="X971" s="1474"/>
      <c r="Y971" s="1474"/>
      <c r="Z971" s="1474"/>
      <c r="AA971" s="1474"/>
      <c r="AB971" s="1475">
        <f>BX659</f>
        <v>2</v>
      </c>
      <c r="AC971" s="1476"/>
      <c r="AD971" s="1476"/>
      <c r="AE971" s="1476"/>
      <c r="AF971" s="1476"/>
      <c r="AG971" s="1476"/>
      <c r="AH971" s="1476"/>
      <c r="AI971" s="1477"/>
      <c r="AJ971" s="1244">
        <f>IF(ISERROR((R971*AB971)),0,(R971*AB971))</f>
        <v>979200</v>
      </c>
      <c r="AK971" s="1245"/>
      <c r="AL971" s="1245"/>
      <c r="AM971" s="1245"/>
      <c r="AN971" s="1245"/>
      <c r="AO971" s="1245"/>
      <c r="AP971" s="1245"/>
      <c r="AQ971" s="124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471" t="s">
        <v>781</v>
      </c>
      <c r="E972" s="1472"/>
      <c r="F972" s="1472"/>
      <c r="G972" s="1472"/>
      <c r="H972" s="1472"/>
      <c r="I972" s="1472"/>
      <c r="J972" s="1472"/>
      <c r="K972" s="1472"/>
      <c r="L972" s="1472"/>
      <c r="M972" s="1472"/>
      <c r="N972" s="1472"/>
      <c r="O972" s="1472"/>
      <c r="P972" s="1472"/>
      <c r="Q972" s="1473"/>
      <c r="R972" s="1474">
        <f>IF(ISNA(IF($BA$827="4%",(INDEX($BC$833:$BG$889,MATCH($BO$833,$BB$842:$BB$899,0),MATCH(D972,$BC$830:$BG$830,0))),(INDEX($BJ$842:$BN$899,MATCH($BO$833,$BI$842:$BI$899,0),MATCH(D972,$BJ$840:$BN$840,0))))),0,IF($BA$827="4%",(INDEX($BC$833:$BG$889,MATCH($BO$833,$BB$842:$BB$899,0),MATCH(D972,$BC$830:$BG$830,0))),(INDEX($BJ$842:$BN$899,MATCH($BO$833,$BI$842:$BI$899,0),MATCH(D972,$BJ$840:$BN$840,0)))))</f>
        <v>626688</v>
      </c>
      <c r="S972" s="1474"/>
      <c r="T972" s="1474"/>
      <c r="U972" s="1474"/>
      <c r="V972" s="1474"/>
      <c r="W972" s="1474"/>
      <c r="X972" s="1474"/>
      <c r="Y972" s="1474"/>
      <c r="Z972" s="1474"/>
      <c r="AA972" s="1474"/>
      <c r="AB972" s="1475">
        <f>CC659</f>
        <v>1</v>
      </c>
      <c r="AC972" s="1476"/>
      <c r="AD972" s="1476"/>
      <c r="AE972" s="1476"/>
      <c r="AF972" s="1476"/>
      <c r="AG972" s="1476"/>
      <c r="AH972" s="1476"/>
      <c r="AI972" s="1477"/>
      <c r="AJ972" s="1244">
        <f>IF(ISERROR((R972*AB972)),0,(R972*AB972))</f>
        <v>626688</v>
      </c>
      <c r="AK972" s="1245"/>
      <c r="AL972" s="1245"/>
      <c r="AM972" s="1245"/>
      <c r="AN972" s="1245"/>
      <c r="AO972" s="1245"/>
      <c r="AP972" s="1245"/>
      <c r="AQ972" s="124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471" t="s">
        <v>791</v>
      </c>
      <c r="E973" s="1472"/>
      <c r="F973" s="1472"/>
      <c r="G973" s="1472"/>
      <c r="H973" s="1472"/>
      <c r="I973" s="1472"/>
      <c r="J973" s="1472"/>
      <c r="K973" s="1472"/>
      <c r="L973" s="1472"/>
      <c r="M973" s="1472"/>
      <c r="N973" s="1472"/>
      <c r="O973" s="1472"/>
      <c r="P973" s="1472"/>
      <c r="Q973" s="1473"/>
      <c r="R973" s="1474">
        <f>IF(ISNA(IF($BA$827="4%",(INDEX($BC$833:$BG$889,MATCH($BO$833,$BB$842:$BB$899,0),MATCH(D973,$BC$830:$BG$830,0))),(INDEX($BJ$842:$BN$899,MATCH($BO$833,$BI$842:$BI$899,0),MATCH(D973,$BJ$840:$BN$840,0))))),0,IF($BA$827="4%",(INDEX($BC$833:$BG$889,MATCH($BO$833,$BB$842:$BB$899,0),MATCH(D973,$BC$830:$BG$830,0))),(INDEX($BJ$842:$BN$899,MATCH($BO$833,$BI$842:$BI$899,0),MATCH(D973,$BJ$840:$BN$840,0)))))</f>
        <v>698170</v>
      </c>
      <c r="S973" s="1474"/>
      <c r="T973" s="1474"/>
      <c r="U973" s="1474"/>
      <c r="V973" s="1474"/>
      <c r="W973" s="1474"/>
      <c r="X973" s="1474"/>
      <c r="Y973" s="1474"/>
      <c r="Z973" s="1474"/>
      <c r="AA973" s="1474"/>
      <c r="AB973" s="1475">
        <f>CM659+CH659</f>
        <v>0</v>
      </c>
      <c r="AC973" s="1476"/>
      <c r="AD973" s="1476"/>
      <c r="AE973" s="1476"/>
      <c r="AF973" s="1476"/>
      <c r="AG973" s="1476"/>
      <c r="AH973" s="1476"/>
      <c r="AI973" s="1477"/>
      <c r="AJ973" s="1244">
        <f>IF(ISERROR((R973*AB973)),0,(R973*AB973))</f>
        <v>0</v>
      </c>
      <c r="AK973" s="1245"/>
      <c r="AL973" s="1245"/>
      <c r="AM973" s="1245"/>
      <c r="AN973" s="1245"/>
      <c r="AO973" s="1245"/>
      <c r="AP973" s="1245"/>
      <c r="AQ973" s="124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55" t="s">
        <v>960</v>
      </c>
      <c r="C974" s="1156"/>
      <c r="D974" s="1156"/>
      <c r="E974" s="1156"/>
      <c r="F974" s="1156"/>
      <c r="G974" s="1156"/>
      <c r="H974" s="1156"/>
      <c r="I974" s="1156"/>
      <c r="J974" s="1156"/>
      <c r="K974" s="1156"/>
      <c r="L974" s="1156"/>
      <c r="M974" s="1156"/>
      <c r="N974" s="1156"/>
      <c r="O974" s="1156"/>
      <c r="P974" s="1156"/>
      <c r="Q974" s="1156"/>
      <c r="R974" s="1156"/>
      <c r="S974" s="1156"/>
      <c r="T974" s="1156"/>
      <c r="U974" s="1156"/>
      <c r="V974" s="1156"/>
      <c r="W974" s="1156"/>
      <c r="X974" s="1156"/>
      <c r="Y974" s="1156"/>
      <c r="Z974" s="1156"/>
      <c r="AA974" s="1157"/>
      <c r="AB974" s="1475">
        <f>SUM(AB969:AI973)</f>
        <v>46</v>
      </c>
      <c r="AC974" s="1476"/>
      <c r="AD974" s="1476"/>
      <c r="AE974" s="1476"/>
      <c r="AF974" s="1476"/>
      <c r="AG974" s="1476"/>
      <c r="AH974" s="1476"/>
      <c r="AI974" s="1477"/>
      <c r="AJ974" s="1244"/>
      <c r="AK974" s="1245"/>
      <c r="AL974" s="1245"/>
      <c r="AM974" s="1245"/>
      <c r="AN974" s="1245"/>
      <c r="AO974" s="1245"/>
      <c r="AP974" s="1245"/>
      <c r="AQ974" s="124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95" t="s">
        <v>747</v>
      </c>
      <c r="C975" s="1496"/>
      <c r="D975" s="1496"/>
      <c r="E975" s="1496"/>
      <c r="F975" s="1496"/>
      <c r="G975" s="1496"/>
      <c r="H975" s="1496"/>
      <c r="I975" s="1496"/>
      <c r="J975" s="1496"/>
      <c r="K975" s="1496"/>
      <c r="L975" s="1496"/>
      <c r="M975" s="1496"/>
      <c r="N975" s="1496"/>
      <c r="O975" s="1496"/>
      <c r="P975" s="1496"/>
      <c r="Q975" s="1496"/>
      <c r="R975" s="1496"/>
      <c r="S975" s="1496"/>
      <c r="T975" s="1496"/>
      <c r="U975" s="1496"/>
      <c r="V975" s="1496"/>
      <c r="W975" s="1496"/>
      <c r="X975" s="1496"/>
      <c r="Y975" s="1496"/>
      <c r="Z975" s="1496"/>
      <c r="AA975" s="1496"/>
      <c r="AB975" s="1496"/>
      <c r="AC975" s="1496"/>
      <c r="AD975" s="1496"/>
      <c r="AE975" s="1496"/>
      <c r="AF975" s="1496"/>
      <c r="AG975" s="1496"/>
      <c r="AH975" s="1496"/>
      <c r="AI975" s="1497"/>
      <c r="AJ975" s="1244">
        <f>SUM(AJ969:AQ973)</f>
        <v>18089234</v>
      </c>
      <c r="AK975" s="1245"/>
      <c r="AL975" s="1245"/>
      <c r="AM975" s="1245"/>
      <c r="AN975" s="1245"/>
      <c r="AO975" s="1245"/>
      <c r="AP975" s="1245"/>
      <c r="AQ975" s="124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41"/>
      <c r="C976" s="1242"/>
      <c r="D976" s="1242"/>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2"/>
      <c r="Z976" s="1242"/>
      <c r="AA976" s="1242"/>
      <c r="AB976" s="1242"/>
      <c r="AC976" s="1242"/>
      <c r="AD976" s="1242"/>
      <c r="AE976" s="1243"/>
      <c r="AF976" s="1238" t="s">
        <v>479</v>
      </c>
      <c r="AG976" s="1239"/>
      <c r="AH976" s="1239"/>
      <c r="AI976" s="1240"/>
      <c r="AJ976" s="1241"/>
      <c r="AK976" s="1242"/>
      <c r="AL976" s="1242"/>
      <c r="AM976" s="1242"/>
      <c r="AN976" s="1242"/>
      <c r="AO976" s="1242"/>
      <c r="AP976" s="1242"/>
      <c r="AQ976" s="12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48" t="s">
        <v>1878</v>
      </c>
      <c r="E977" s="1149"/>
      <c r="F977" s="1149"/>
      <c r="G977" s="1149"/>
      <c r="H977" s="1149"/>
      <c r="I977" s="1149"/>
      <c r="J977" s="1149"/>
      <c r="K977" s="1149"/>
      <c r="L977" s="1149"/>
      <c r="M977" s="1149"/>
      <c r="N977" s="1149"/>
      <c r="O977" s="1149"/>
      <c r="P977" s="1149"/>
      <c r="Q977" s="1149"/>
      <c r="R977" s="1149"/>
      <c r="S977" s="1149"/>
      <c r="T977" s="1149"/>
      <c r="U977" s="1149"/>
      <c r="V977" s="1149"/>
      <c r="W977" s="1149"/>
      <c r="X977" s="1149"/>
      <c r="Y977" s="1149"/>
      <c r="Z977" s="1149"/>
      <c r="AA977" s="1149"/>
      <c r="AB977" s="1149"/>
      <c r="AC977" s="1149"/>
      <c r="AD977" s="1149"/>
      <c r="AE977" s="1150"/>
      <c r="AF977" s="82"/>
      <c r="AG977" s="1153" t="s">
        <v>482</v>
      </c>
      <c r="AH977" s="1154"/>
      <c r="AI977" s="85"/>
      <c r="AJ977" s="1167">
        <f>ROUND(IF(AND(AG977="yes",D983&lt;&gt;""),AJ975*0.2,0),0)</f>
        <v>0</v>
      </c>
      <c r="AK977" s="1168"/>
      <c r="AL977" s="1168"/>
      <c r="AM977" s="1168"/>
      <c r="AN977" s="1168"/>
      <c r="AO977" s="1168"/>
      <c r="AP977" s="1168"/>
      <c r="AQ977" s="116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87" t="s">
        <v>2307</v>
      </c>
      <c r="E978" s="1488"/>
      <c r="F978" s="1488"/>
      <c r="G978" s="1488"/>
      <c r="H978" s="1488"/>
      <c r="I978" s="1488"/>
      <c r="J978" s="1488"/>
      <c r="K978" s="1488"/>
      <c r="L978" s="1488"/>
      <c r="M978" s="1488"/>
      <c r="N978" s="1488"/>
      <c r="O978" s="1488"/>
      <c r="P978" s="1488"/>
      <c r="Q978" s="1488"/>
      <c r="R978" s="1488"/>
      <c r="S978" s="1488"/>
      <c r="T978" s="1488"/>
      <c r="U978" s="1488"/>
      <c r="V978" s="1488"/>
      <c r="W978" s="1488"/>
      <c r="X978" s="1488"/>
      <c r="Y978" s="1488"/>
      <c r="Z978" s="1488"/>
      <c r="AA978" s="1488"/>
      <c r="AB978" s="1488"/>
      <c r="AC978" s="1488"/>
      <c r="AD978" s="1488"/>
      <c r="AE978" s="1489"/>
      <c r="AF978" s="79"/>
      <c r="AG978" s="21"/>
      <c r="AH978" s="21"/>
      <c r="AI978" s="83"/>
      <c r="AJ978" s="1170"/>
      <c r="AK978" s="1171"/>
      <c r="AL978" s="1171"/>
      <c r="AM978" s="1171"/>
      <c r="AN978" s="1171"/>
      <c r="AO978" s="1171"/>
      <c r="AP978" s="1171"/>
      <c r="AQ978" s="117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87"/>
      <c r="E979" s="1488"/>
      <c r="F979" s="1488"/>
      <c r="G979" s="1488"/>
      <c r="H979" s="1488"/>
      <c r="I979" s="1488"/>
      <c r="J979" s="1488"/>
      <c r="K979" s="1488"/>
      <c r="L979" s="1488"/>
      <c r="M979" s="1488"/>
      <c r="N979" s="1488"/>
      <c r="O979" s="1488"/>
      <c r="P979" s="1488"/>
      <c r="Q979" s="1488"/>
      <c r="R979" s="1488"/>
      <c r="S979" s="1488"/>
      <c r="T979" s="1488"/>
      <c r="U979" s="1488"/>
      <c r="V979" s="1488"/>
      <c r="W979" s="1488"/>
      <c r="X979" s="1488"/>
      <c r="Y979" s="1488"/>
      <c r="Z979" s="1488"/>
      <c r="AA979" s="1488"/>
      <c r="AB979" s="1488"/>
      <c r="AC979" s="1488"/>
      <c r="AD979" s="1488"/>
      <c r="AE979" s="1489"/>
      <c r="AF979" s="79"/>
      <c r="AG979" s="21"/>
      <c r="AH979" s="21"/>
      <c r="AI979" s="83"/>
      <c r="AJ979" s="1170"/>
      <c r="AK979" s="1171"/>
      <c r="AL979" s="1171"/>
      <c r="AM979" s="1171"/>
      <c r="AN979" s="1171"/>
      <c r="AO979" s="1171"/>
      <c r="AP979" s="1171"/>
      <c r="AQ979" s="117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87"/>
      <c r="E980" s="1488"/>
      <c r="F980" s="1488"/>
      <c r="G980" s="1488"/>
      <c r="H980" s="1488"/>
      <c r="I980" s="1488"/>
      <c r="J980" s="1488"/>
      <c r="K980" s="1488"/>
      <c r="L980" s="1488"/>
      <c r="M980" s="1488"/>
      <c r="N980" s="1488"/>
      <c r="O980" s="1488"/>
      <c r="P980" s="1488"/>
      <c r="Q980" s="1488"/>
      <c r="R980" s="1488"/>
      <c r="S980" s="1488"/>
      <c r="T980" s="1488"/>
      <c r="U980" s="1488"/>
      <c r="V980" s="1488"/>
      <c r="W980" s="1488"/>
      <c r="X980" s="1488"/>
      <c r="Y980" s="1488"/>
      <c r="Z980" s="1488"/>
      <c r="AA980" s="1488"/>
      <c r="AB980" s="1488"/>
      <c r="AC980" s="1488"/>
      <c r="AD980" s="1488"/>
      <c r="AE980" s="1489"/>
      <c r="AF980" s="79"/>
      <c r="AG980" s="21"/>
      <c r="AH980" s="21"/>
      <c r="AI980" s="83"/>
      <c r="AJ980" s="1170"/>
      <c r="AK980" s="1171"/>
      <c r="AL980" s="1171"/>
      <c r="AM980" s="1171"/>
      <c r="AN980" s="1171"/>
      <c r="AO980" s="1171"/>
      <c r="AP980" s="1171"/>
      <c r="AQ980" s="117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87"/>
      <c r="E981" s="1488"/>
      <c r="F981" s="1488"/>
      <c r="G981" s="1488"/>
      <c r="H981" s="1488"/>
      <c r="I981" s="1488"/>
      <c r="J981" s="1488"/>
      <c r="K981" s="1488"/>
      <c r="L981" s="1488"/>
      <c r="M981" s="1488"/>
      <c r="N981" s="1488"/>
      <c r="O981" s="1488"/>
      <c r="P981" s="1488"/>
      <c r="Q981" s="1488"/>
      <c r="R981" s="1488"/>
      <c r="S981" s="1488"/>
      <c r="T981" s="1488"/>
      <c r="U981" s="1488"/>
      <c r="V981" s="1488"/>
      <c r="W981" s="1488"/>
      <c r="X981" s="1488"/>
      <c r="Y981" s="1488"/>
      <c r="Z981" s="1488"/>
      <c r="AA981" s="1488"/>
      <c r="AB981" s="1488"/>
      <c r="AC981" s="1488"/>
      <c r="AD981" s="1488"/>
      <c r="AE981" s="1489"/>
      <c r="AF981" s="79"/>
      <c r="AG981" s="21"/>
      <c r="AH981" s="21"/>
      <c r="AI981" s="83"/>
      <c r="AJ981" s="1170"/>
      <c r="AK981" s="1171"/>
      <c r="AL981" s="1171"/>
      <c r="AM981" s="1171"/>
      <c r="AN981" s="1171"/>
      <c r="AO981" s="1171"/>
      <c r="AP981" s="1171"/>
      <c r="AQ981" s="117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90" t="s">
        <v>2257</v>
      </c>
      <c r="E982" s="1491"/>
      <c r="F982" s="1491"/>
      <c r="G982" s="1491"/>
      <c r="H982" s="1491"/>
      <c r="I982" s="1491"/>
      <c r="J982" s="1491"/>
      <c r="K982" s="1491"/>
      <c r="L982" s="1491"/>
      <c r="M982" s="1491"/>
      <c r="N982" s="1491"/>
      <c r="O982" s="1491"/>
      <c r="P982" s="1491"/>
      <c r="Q982" s="1491"/>
      <c r="R982" s="1491"/>
      <c r="S982" s="1491"/>
      <c r="T982" s="1491"/>
      <c r="U982" s="1491"/>
      <c r="V982" s="1491"/>
      <c r="W982" s="1491"/>
      <c r="X982" s="1491"/>
      <c r="Y982" s="1491"/>
      <c r="Z982" s="1491"/>
      <c r="AA982" s="1491"/>
      <c r="AB982" s="1491"/>
      <c r="AC982" s="1491"/>
      <c r="AD982" s="1491"/>
      <c r="AE982" s="1492"/>
      <c r="AF982" s="79"/>
      <c r="AG982" s="21"/>
      <c r="AH982" s="21"/>
      <c r="AI982" s="83"/>
      <c r="AJ982" s="1170"/>
      <c r="AK982" s="1171"/>
      <c r="AL982" s="1171"/>
      <c r="AM982" s="1171"/>
      <c r="AN982" s="1171"/>
      <c r="AO982" s="1171"/>
      <c r="AP982" s="1171"/>
      <c r="AQ982" s="117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07"/>
      <c r="E983" s="1408"/>
      <c r="F983" s="1408"/>
      <c r="G983" s="1408"/>
      <c r="H983" s="1408"/>
      <c r="I983" s="1408"/>
      <c r="J983" s="1408"/>
      <c r="K983" s="1408"/>
      <c r="L983" s="1408"/>
      <c r="M983" s="1408"/>
      <c r="N983" s="1408"/>
      <c r="O983" s="1408"/>
      <c r="P983" s="1408"/>
      <c r="Q983" s="1408"/>
      <c r="R983" s="1408"/>
      <c r="S983" s="1408"/>
      <c r="T983" s="1408"/>
      <c r="U983" s="1408"/>
      <c r="V983" s="1408"/>
      <c r="W983" s="1408"/>
      <c r="X983" s="1408"/>
      <c r="Y983" s="1408"/>
      <c r="Z983" s="1408"/>
      <c r="AA983" s="1408"/>
      <c r="AB983" s="1408"/>
      <c r="AC983" s="1408"/>
      <c r="AD983" s="1408"/>
      <c r="AE983" s="1409"/>
      <c r="AF983" s="80"/>
      <c r="AG983" s="11"/>
      <c r="AH983" s="11"/>
      <c r="AI983" s="81"/>
      <c r="AJ983" s="1173"/>
      <c r="AK983" s="1174"/>
      <c r="AL983" s="1174"/>
      <c r="AM983" s="1174"/>
      <c r="AN983" s="1174"/>
      <c r="AO983" s="1174"/>
      <c r="AP983" s="1174"/>
      <c r="AQ983" s="117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90" t="s">
        <v>1985</v>
      </c>
      <c r="E984" s="1191"/>
      <c r="F984" s="1191"/>
      <c r="G984" s="1191"/>
      <c r="H984" s="1191"/>
      <c r="I984" s="1191"/>
      <c r="J984" s="1191"/>
      <c r="K984" s="1191"/>
      <c r="L984" s="1191"/>
      <c r="M984" s="1191"/>
      <c r="N984" s="1191"/>
      <c r="O984" s="1191"/>
      <c r="P984" s="1191"/>
      <c r="Q984" s="1191"/>
      <c r="R984" s="1191"/>
      <c r="S984" s="1191"/>
      <c r="T984" s="1191"/>
      <c r="U984" s="1191"/>
      <c r="V984" s="1191"/>
      <c r="W984" s="1191"/>
      <c r="X984" s="1191"/>
      <c r="Y984" s="1191"/>
      <c r="Z984" s="1191"/>
      <c r="AA984" s="1191"/>
      <c r="AB984" s="1191"/>
      <c r="AC984" s="1191"/>
      <c r="AD984" s="1191"/>
      <c r="AE984" s="1192"/>
      <c r="AF984" s="82"/>
      <c r="AG984" s="1151" t="s">
        <v>482</v>
      </c>
      <c r="AH984" s="1152"/>
      <c r="AI984" s="85"/>
      <c r="AJ984" s="1167">
        <f>ROUND(IF(AG984="yes",AJ975*0.05,0),0)</f>
        <v>0</v>
      </c>
      <c r="AK984" s="1168"/>
      <c r="AL984" s="1168"/>
      <c r="AM984" s="1168"/>
      <c r="AN984" s="1168"/>
      <c r="AO984" s="1168"/>
      <c r="AP984" s="1168"/>
      <c r="AQ984" s="116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87" t="s">
        <v>1879</v>
      </c>
      <c r="E985" s="1488"/>
      <c r="F985" s="1488"/>
      <c r="G985" s="1488"/>
      <c r="H985" s="1488"/>
      <c r="I985" s="1488"/>
      <c r="J985" s="1488"/>
      <c r="K985" s="1488"/>
      <c r="L985" s="1488"/>
      <c r="M985" s="1488"/>
      <c r="N985" s="1488"/>
      <c r="O985" s="1488"/>
      <c r="P985" s="1488"/>
      <c r="Q985" s="1488"/>
      <c r="R985" s="1488"/>
      <c r="S985" s="1488"/>
      <c r="T985" s="1488"/>
      <c r="U985" s="1488"/>
      <c r="V985" s="1488"/>
      <c r="W985" s="1488"/>
      <c r="X985" s="1488"/>
      <c r="Y985" s="1488"/>
      <c r="Z985" s="1488"/>
      <c r="AA985" s="1488"/>
      <c r="AB985" s="1488"/>
      <c r="AC985" s="1488"/>
      <c r="AD985" s="1488"/>
      <c r="AE985" s="1489"/>
      <c r="AF985" s="79"/>
      <c r="AG985" s="21"/>
      <c r="AH985" s="21"/>
      <c r="AI985" s="83"/>
      <c r="AJ985" s="1170"/>
      <c r="AK985" s="1171"/>
      <c r="AL985" s="1171"/>
      <c r="AM985" s="1171"/>
      <c r="AN985" s="1171"/>
      <c r="AO985" s="1171"/>
      <c r="AP985" s="1171"/>
      <c r="AQ985" s="117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87"/>
      <c r="E986" s="1488"/>
      <c r="F986" s="1488"/>
      <c r="G986" s="1488"/>
      <c r="H986" s="1488"/>
      <c r="I986" s="1488"/>
      <c r="J986" s="1488"/>
      <c r="K986" s="1488"/>
      <c r="L986" s="1488"/>
      <c r="M986" s="1488"/>
      <c r="N986" s="1488"/>
      <c r="O986" s="1488"/>
      <c r="P986" s="1488"/>
      <c r="Q986" s="1488"/>
      <c r="R986" s="1488"/>
      <c r="S986" s="1488"/>
      <c r="T986" s="1488"/>
      <c r="U986" s="1488"/>
      <c r="V986" s="1488"/>
      <c r="W986" s="1488"/>
      <c r="X986" s="1488"/>
      <c r="Y986" s="1488"/>
      <c r="Z986" s="1488"/>
      <c r="AA986" s="1488"/>
      <c r="AB986" s="1488"/>
      <c r="AC986" s="1488"/>
      <c r="AD986" s="1488"/>
      <c r="AE986" s="1489"/>
      <c r="AF986" s="79"/>
      <c r="AG986" s="21"/>
      <c r="AH986" s="21"/>
      <c r="AI986" s="83"/>
      <c r="AJ986" s="1170"/>
      <c r="AK986" s="1171"/>
      <c r="AL986" s="1171"/>
      <c r="AM986" s="1171"/>
      <c r="AN986" s="1171"/>
      <c r="AO986" s="1171"/>
      <c r="AP986" s="1171"/>
      <c r="AQ986" s="117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87"/>
      <c r="E987" s="1488"/>
      <c r="F987" s="1488"/>
      <c r="G987" s="1488"/>
      <c r="H987" s="1488"/>
      <c r="I987" s="1488"/>
      <c r="J987" s="1488"/>
      <c r="K987" s="1488"/>
      <c r="L987" s="1488"/>
      <c r="M987" s="1488"/>
      <c r="N987" s="1488"/>
      <c r="O987" s="1488"/>
      <c r="P987" s="1488"/>
      <c r="Q987" s="1488"/>
      <c r="R987" s="1488"/>
      <c r="S987" s="1488"/>
      <c r="T987" s="1488"/>
      <c r="U987" s="1488"/>
      <c r="V987" s="1488"/>
      <c r="W987" s="1488"/>
      <c r="X987" s="1488"/>
      <c r="Y987" s="1488"/>
      <c r="Z987" s="1488"/>
      <c r="AA987" s="1488"/>
      <c r="AB987" s="1488"/>
      <c r="AC987" s="1488"/>
      <c r="AD987" s="1488"/>
      <c r="AE987" s="1489"/>
      <c r="AF987" s="79"/>
      <c r="AG987" s="21"/>
      <c r="AH987" s="21"/>
      <c r="AI987" s="83"/>
      <c r="AJ987" s="1170"/>
      <c r="AK987" s="1171"/>
      <c r="AL987" s="1171"/>
      <c r="AM987" s="1171"/>
      <c r="AN987" s="1171"/>
      <c r="AO987" s="1171"/>
      <c r="AP987" s="1171"/>
      <c r="AQ987" s="117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87"/>
      <c r="E988" s="1488"/>
      <c r="F988" s="1488"/>
      <c r="G988" s="1488"/>
      <c r="H988" s="1488"/>
      <c r="I988" s="1488"/>
      <c r="J988" s="1488"/>
      <c r="K988" s="1488"/>
      <c r="L988" s="1488"/>
      <c r="M988" s="1488"/>
      <c r="N988" s="1488"/>
      <c r="O988" s="1488"/>
      <c r="P988" s="1488"/>
      <c r="Q988" s="1488"/>
      <c r="R988" s="1488"/>
      <c r="S988" s="1488"/>
      <c r="T988" s="1488"/>
      <c r="U988" s="1488"/>
      <c r="V988" s="1488"/>
      <c r="W988" s="1488"/>
      <c r="X988" s="1488"/>
      <c r="Y988" s="1488"/>
      <c r="Z988" s="1488"/>
      <c r="AA988" s="1488"/>
      <c r="AB988" s="1488"/>
      <c r="AC988" s="1488"/>
      <c r="AD988" s="1488"/>
      <c r="AE988" s="1489"/>
      <c r="AF988" s="79"/>
      <c r="AG988" s="21"/>
      <c r="AH988" s="21"/>
      <c r="AI988" s="83"/>
      <c r="AJ988" s="1170"/>
      <c r="AK988" s="1171"/>
      <c r="AL988" s="1171"/>
      <c r="AM988" s="1171"/>
      <c r="AN988" s="1171"/>
      <c r="AO988" s="1171"/>
      <c r="AP988" s="1171"/>
      <c r="AQ988" s="1172"/>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90"/>
      <c r="E989" s="1491"/>
      <c r="F989" s="1491"/>
      <c r="G989" s="1491"/>
      <c r="H989" s="1491"/>
      <c r="I989" s="1491"/>
      <c r="J989" s="1491"/>
      <c r="K989" s="1491"/>
      <c r="L989" s="1491"/>
      <c r="M989" s="1491"/>
      <c r="N989" s="1491"/>
      <c r="O989" s="1491"/>
      <c r="P989" s="1491"/>
      <c r="Q989" s="1491"/>
      <c r="R989" s="1491"/>
      <c r="S989" s="1491"/>
      <c r="T989" s="1491"/>
      <c r="U989" s="1491"/>
      <c r="V989" s="1491"/>
      <c r="W989" s="1491"/>
      <c r="X989" s="1491"/>
      <c r="Y989" s="1491"/>
      <c r="Z989" s="1491"/>
      <c r="AA989" s="1491"/>
      <c r="AB989" s="1491"/>
      <c r="AC989" s="1491"/>
      <c r="AD989" s="1491"/>
      <c r="AE989" s="1492"/>
      <c r="AF989" s="80"/>
      <c r="AG989" s="11"/>
      <c r="AH989" s="11"/>
      <c r="AI989" s="81"/>
      <c r="AJ989" s="1173"/>
      <c r="AK989" s="1174"/>
      <c r="AL989" s="1174"/>
      <c r="AM989" s="1174"/>
      <c r="AN989" s="1174"/>
      <c r="AO989" s="1174"/>
      <c r="AP989" s="1174"/>
      <c r="AQ989" s="1175"/>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90" t="s">
        <v>1986</v>
      </c>
      <c r="E990" s="1191"/>
      <c r="F990" s="1191"/>
      <c r="G990" s="1191"/>
      <c r="H990" s="1191"/>
      <c r="I990" s="1191"/>
      <c r="J990" s="1191"/>
      <c r="K990" s="1191"/>
      <c r="L990" s="1191"/>
      <c r="M990" s="1191"/>
      <c r="N990" s="1191"/>
      <c r="O990" s="1191"/>
      <c r="P990" s="1191"/>
      <c r="Q990" s="1191"/>
      <c r="R990" s="1191"/>
      <c r="S990" s="1191"/>
      <c r="T990" s="1191"/>
      <c r="U990" s="1191"/>
      <c r="V990" s="1191"/>
      <c r="W990" s="1191"/>
      <c r="X990" s="1191"/>
      <c r="Y990" s="1191"/>
      <c r="Z990" s="1191"/>
      <c r="AA990" s="1191"/>
      <c r="AB990" s="1191"/>
      <c r="AC990" s="1191"/>
      <c r="AD990" s="1191"/>
      <c r="AE990" s="1192"/>
      <c r="AF990" s="84"/>
      <c r="AG990" s="1151" t="s">
        <v>482</v>
      </c>
      <c r="AH990" s="1152"/>
      <c r="AI990" s="85"/>
      <c r="AJ990" s="1167">
        <f>ROUND(IF(AG990="yes",AJ975*0.1,0),0)</f>
        <v>0</v>
      </c>
      <c r="AK990" s="1168"/>
      <c r="AL990" s="1168"/>
      <c r="AM990" s="1168"/>
      <c r="AN990" s="1168"/>
      <c r="AO990" s="1168"/>
      <c r="AP990" s="1168"/>
      <c r="AQ990" s="1169"/>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83" t="s">
        <v>1987</v>
      </c>
      <c r="E991" s="1184"/>
      <c r="F991" s="1184"/>
      <c r="G991" s="1184"/>
      <c r="H991" s="1184"/>
      <c r="I991" s="1184"/>
      <c r="J991" s="1184"/>
      <c r="K991" s="1184"/>
      <c r="L991" s="1184"/>
      <c r="M991" s="1184"/>
      <c r="N991" s="1184"/>
      <c r="O991" s="1184"/>
      <c r="P991" s="1184"/>
      <c r="Q991" s="1184"/>
      <c r="R991" s="1184"/>
      <c r="S991" s="1184"/>
      <c r="T991" s="1184"/>
      <c r="U991" s="1184"/>
      <c r="V991" s="1184"/>
      <c r="W991" s="1184"/>
      <c r="X991" s="1184"/>
      <c r="Y991" s="1184"/>
      <c r="Z991" s="1184"/>
      <c r="AA991" s="1184"/>
      <c r="AB991" s="1184"/>
      <c r="AC991" s="1184"/>
      <c r="AD991" s="1184"/>
      <c r="AE991" s="1185"/>
      <c r="AF991" s="79"/>
      <c r="AI991" s="83"/>
      <c r="AJ991" s="1170"/>
      <c r="AK991" s="1171"/>
      <c r="AL991" s="1171"/>
      <c r="AM991" s="1171"/>
      <c r="AN991" s="1171"/>
      <c r="AO991" s="1171"/>
      <c r="AP991" s="1171"/>
      <c r="AQ991" s="1172"/>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83"/>
      <c r="E992" s="1184"/>
      <c r="F992" s="1184"/>
      <c r="G992" s="1184"/>
      <c r="H992" s="1184"/>
      <c r="I992" s="1184"/>
      <c r="J992" s="1184"/>
      <c r="K992" s="1184"/>
      <c r="L992" s="1184"/>
      <c r="M992" s="1184"/>
      <c r="N992" s="1184"/>
      <c r="O992" s="1184"/>
      <c r="P992" s="1184"/>
      <c r="Q992" s="1184"/>
      <c r="R992" s="1184"/>
      <c r="S992" s="1184"/>
      <c r="T992" s="1184"/>
      <c r="U992" s="1184"/>
      <c r="V992" s="1184"/>
      <c r="W992" s="1184"/>
      <c r="X992" s="1184"/>
      <c r="Y992" s="1184"/>
      <c r="Z992" s="1184"/>
      <c r="AA992" s="1184"/>
      <c r="AB992" s="1184"/>
      <c r="AC992" s="1184"/>
      <c r="AD992" s="1184"/>
      <c r="AE992" s="1185"/>
      <c r="AF992" s="79"/>
      <c r="AG992" s="21"/>
      <c r="AH992" s="21"/>
      <c r="AI992" s="83"/>
      <c r="AJ992" s="1170"/>
      <c r="AK992" s="1171"/>
      <c r="AL992" s="1171"/>
      <c r="AM992" s="1171"/>
      <c r="AN992" s="1171"/>
      <c r="AO992" s="1171"/>
      <c r="AP992" s="1171"/>
      <c r="AQ992" s="1172"/>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86"/>
      <c r="E993" s="1187"/>
      <c r="F993" s="1187"/>
      <c r="G993" s="1187"/>
      <c r="H993" s="1187"/>
      <c r="I993" s="1187"/>
      <c r="J993" s="1187"/>
      <c r="K993" s="1187"/>
      <c r="L993" s="1187"/>
      <c r="M993" s="1187"/>
      <c r="N993" s="1187"/>
      <c r="O993" s="1187"/>
      <c r="P993" s="1187"/>
      <c r="Q993" s="1187"/>
      <c r="R993" s="1187"/>
      <c r="S993" s="1187"/>
      <c r="T993" s="1187"/>
      <c r="U993" s="1187"/>
      <c r="V993" s="1187"/>
      <c r="W993" s="1187"/>
      <c r="X993" s="1187"/>
      <c r="Y993" s="1187"/>
      <c r="Z993" s="1187"/>
      <c r="AA993" s="1187"/>
      <c r="AB993" s="1187"/>
      <c r="AC993" s="1187"/>
      <c r="AD993" s="1187"/>
      <c r="AE993" s="1188"/>
      <c r="AF993" s="80"/>
      <c r="AG993" s="11"/>
      <c r="AH993" s="11"/>
      <c r="AI993" s="81"/>
      <c r="AJ993" s="1173"/>
      <c r="AK993" s="1174"/>
      <c r="AL993" s="1174"/>
      <c r="AM993" s="1174"/>
      <c r="AN993" s="1174"/>
      <c r="AO993" s="1174"/>
      <c r="AP993" s="1174"/>
      <c r="AQ993" s="1175"/>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90" t="s">
        <v>1880</v>
      </c>
      <c r="E994" s="1191"/>
      <c r="F994" s="1191"/>
      <c r="G994" s="1191"/>
      <c r="H994" s="1191"/>
      <c r="I994" s="1191"/>
      <c r="J994" s="1191"/>
      <c r="K994" s="1191"/>
      <c r="L994" s="1191"/>
      <c r="M994" s="1191"/>
      <c r="N994" s="1191"/>
      <c r="O994" s="1191"/>
      <c r="P994" s="1191"/>
      <c r="Q994" s="1191"/>
      <c r="R994" s="1191"/>
      <c r="S994" s="1191"/>
      <c r="T994" s="1191"/>
      <c r="U994" s="1191"/>
      <c r="V994" s="1191"/>
      <c r="W994" s="1191"/>
      <c r="X994" s="1191"/>
      <c r="Y994" s="1191"/>
      <c r="Z994" s="1191"/>
      <c r="AA994" s="1191"/>
      <c r="AB994" s="1191"/>
      <c r="AC994" s="1191"/>
      <c r="AD994" s="1191"/>
      <c r="AE994" s="1192"/>
      <c r="AF994" s="82"/>
      <c r="AG994" s="1151" t="s">
        <v>482</v>
      </c>
      <c r="AH994" s="1152"/>
      <c r="AI994" s="85"/>
      <c r="AJ994" s="1167">
        <f>ROUND(IF(AG994="yes",AJ975*0.02,0),0)</f>
        <v>0</v>
      </c>
      <c r="AK994" s="1168"/>
      <c r="AL994" s="1168"/>
      <c r="AM994" s="1168"/>
      <c r="AN994" s="1168"/>
      <c r="AO994" s="1168"/>
      <c r="AP994" s="1168"/>
      <c r="AQ994" s="1169"/>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86" t="s">
        <v>1881</v>
      </c>
      <c r="E995" s="1187"/>
      <c r="F995" s="1187"/>
      <c r="G995" s="1187"/>
      <c r="H995" s="1187"/>
      <c r="I995" s="1187"/>
      <c r="J995" s="1187"/>
      <c r="K995" s="1187"/>
      <c r="L995" s="1187"/>
      <c r="M995" s="1187"/>
      <c r="N995" s="1187"/>
      <c r="O995" s="1187"/>
      <c r="P995" s="1187"/>
      <c r="Q995" s="1187"/>
      <c r="R995" s="1187"/>
      <c r="S995" s="1187"/>
      <c r="T995" s="1187"/>
      <c r="U995" s="1187"/>
      <c r="V995" s="1187"/>
      <c r="W995" s="1187"/>
      <c r="X995" s="1187"/>
      <c r="Y995" s="1187"/>
      <c r="Z995" s="1187"/>
      <c r="AA995" s="1187"/>
      <c r="AB995" s="1187"/>
      <c r="AC995" s="1187"/>
      <c r="AD995" s="1187"/>
      <c r="AE995" s="1188"/>
      <c r="AF995" s="80"/>
      <c r="AG995" s="11"/>
      <c r="AH995" s="11"/>
      <c r="AI995" s="81"/>
      <c r="AJ995" s="1173"/>
      <c r="AK995" s="1174"/>
      <c r="AL995" s="1174"/>
      <c r="AM995" s="1174"/>
      <c r="AN995" s="1174"/>
      <c r="AO995" s="1174"/>
      <c r="AP995" s="1174"/>
      <c r="AQ995" s="1175"/>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90" t="s">
        <v>1882</v>
      </c>
      <c r="E996" s="1191"/>
      <c r="F996" s="1191"/>
      <c r="G996" s="1191"/>
      <c r="H996" s="1191"/>
      <c r="I996" s="1191"/>
      <c r="J996" s="1191"/>
      <c r="K996" s="1191"/>
      <c r="L996" s="1191"/>
      <c r="M996" s="1191"/>
      <c r="N996" s="1191"/>
      <c r="O996" s="1191"/>
      <c r="P996" s="1191"/>
      <c r="Q996" s="1191"/>
      <c r="R996" s="1191"/>
      <c r="S996" s="1191"/>
      <c r="T996" s="1191"/>
      <c r="U996" s="1191"/>
      <c r="V996" s="1191"/>
      <c r="W996" s="1191"/>
      <c r="X996" s="1191"/>
      <c r="Y996" s="1191"/>
      <c r="Z996" s="1191"/>
      <c r="AA996" s="1191"/>
      <c r="AB996" s="1191"/>
      <c r="AC996" s="1191"/>
      <c r="AD996" s="1191"/>
      <c r="AE996" s="1192"/>
      <c r="AF996" s="82"/>
      <c r="AG996" s="1151" t="s">
        <v>482</v>
      </c>
      <c r="AH996" s="1152"/>
      <c r="AI996" s="82"/>
      <c r="AJ996" s="1167">
        <f>ROUND(IF(AG996="yes",AJ975*0.02,0),0)</f>
        <v>0</v>
      </c>
      <c r="AK996" s="1168"/>
      <c r="AL996" s="1168"/>
      <c r="AM996" s="1168"/>
      <c r="AN996" s="1168"/>
      <c r="AO996" s="1168"/>
      <c r="AP996" s="1168"/>
      <c r="AQ996" s="1169"/>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83" t="s">
        <v>1883</v>
      </c>
      <c r="E997" s="1184"/>
      <c r="F997" s="1184"/>
      <c r="G997" s="1184"/>
      <c r="H997" s="1184"/>
      <c r="I997" s="1184"/>
      <c r="J997" s="1184"/>
      <c r="K997" s="1184"/>
      <c r="L997" s="1184"/>
      <c r="M997" s="1184"/>
      <c r="N997" s="1184"/>
      <c r="O997" s="1184"/>
      <c r="P997" s="1184"/>
      <c r="Q997" s="1184"/>
      <c r="R997" s="1184"/>
      <c r="S997" s="1184"/>
      <c r="T997" s="1184"/>
      <c r="U997" s="1184"/>
      <c r="V997" s="1184"/>
      <c r="W997" s="1184"/>
      <c r="X997" s="1184"/>
      <c r="Y997" s="1184"/>
      <c r="Z997" s="1184"/>
      <c r="AA997" s="1184"/>
      <c r="AB997" s="1184"/>
      <c r="AC997" s="1184"/>
      <c r="AD997" s="1184"/>
      <c r="AE997" s="1185"/>
      <c r="AF997" s="1124" t="str">
        <f>IF(AND(AG996="yes",V215&lt;&gt;1),"The project may not be eligible for this boost","")</f>
        <v/>
      </c>
      <c r="AG997" s="1125"/>
      <c r="AH997" s="1125"/>
      <c r="AI997" s="1126"/>
      <c r="AJ997" s="1170"/>
      <c r="AK997" s="1171"/>
      <c r="AL997" s="1171"/>
      <c r="AM997" s="1171"/>
      <c r="AN997" s="1171"/>
      <c r="AO997" s="1171"/>
      <c r="AP997" s="1171"/>
      <c r="AQ997" s="1172"/>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86"/>
      <c r="E998" s="1187"/>
      <c r="F998" s="1187"/>
      <c r="G998" s="1187"/>
      <c r="H998" s="1187"/>
      <c r="I998" s="1187"/>
      <c r="J998" s="1187"/>
      <c r="K998" s="1187"/>
      <c r="L998" s="1187"/>
      <c r="M998" s="1187"/>
      <c r="N998" s="1187"/>
      <c r="O998" s="1187"/>
      <c r="P998" s="1187"/>
      <c r="Q998" s="1187"/>
      <c r="R998" s="1187"/>
      <c r="S998" s="1187"/>
      <c r="T998" s="1187"/>
      <c r="U998" s="1187"/>
      <c r="V998" s="1187"/>
      <c r="W998" s="1187"/>
      <c r="X998" s="1187"/>
      <c r="Y998" s="1187"/>
      <c r="Z998" s="1187"/>
      <c r="AA998" s="1187"/>
      <c r="AB998" s="1187"/>
      <c r="AC998" s="1187"/>
      <c r="AD998" s="1187"/>
      <c r="AE998" s="1188"/>
      <c r="AF998" s="1127"/>
      <c r="AG998" s="1128"/>
      <c r="AH998" s="1128"/>
      <c r="AI998" s="1129"/>
      <c r="AJ998" s="1173"/>
      <c r="AK998" s="1174"/>
      <c r="AL998" s="1174"/>
      <c r="AM998" s="1174"/>
      <c r="AN998" s="1174"/>
      <c r="AO998" s="1174"/>
      <c r="AP998" s="1174"/>
      <c r="AQ998" s="1175"/>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48" t="s">
        <v>1884</v>
      </c>
      <c r="E999" s="1149"/>
      <c r="F999" s="1149"/>
      <c r="G999" s="1149"/>
      <c r="H999" s="1149"/>
      <c r="I999" s="1149"/>
      <c r="J999" s="1149"/>
      <c r="K999" s="1149"/>
      <c r="L999" s="1149"/>
      <c r="M999" s="1149"/>
      <c r="N999" s="1149"/>
      <c r="O999" s="1149"/>
      <c r="P999" s="1149"/>
      <c r="Q999" s="1149"/>
      <c r="R999" s="1149"/>
      <c r="S999" s="1149"/>
      <c r="T999" s="1149"/>
      <c r="U999" s="1149"/>
      <c r="V999" s="1149"/>
      <c r="W999" s="1149"/>
      <c r="X999" s="1149"/>
      <c r="Y999" s="1149"/>
      <c r="Z999" s="1149"/>
      <c r="AA999" s="1149"/>
      <c r="AB999" s="1149"/>
      <c r="AC999" s="1149"/>
      <c r="AD999" s="1149"/>
      <c r="AE999" s="1150"/>
      <c r="AF999" s="82"/>
      <c r="AG999" s="1151" t="s">
        <v>482</v>
      </c>
      <c r="AH999" s="1152"/>
      <c r="AI999" s="85"/>
      <c r="AJ999" s="1167">
        <f>IF(AG999="yes",AJ975*BA1000,0)</f>
        <v>0</v>
      </c>
      <c r="AK999" s="1168"/>
      <c r="AL999" s="1168"/>
      <c r="AM999" s="1168"/>
      <c r="AN999" s="1168"/>
      <c r="AO999" s="1168"/>
      <c r="AP999" s="1168"/>
      <c r="AQ999" s="1169"/>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83" t="s">
        <v>1988</v>
      </c>
      <c r="E1000" s="1184"/>
      <c r="F1000" s="1184"/>
      <c r="G1000" s="1184"/>
      <c r="H1000" s="1184"/>
      <c r="I1000" s="1184"/>
      <c r="J1000" s="1184"/>
      <c r="K1000" s="1184"/>
      <c r="L1000" s="1184"/>
      <c r="M1000" s="1184"/>
      <c r="N1000" s="1184"/>
      <c r="O1000" s="1184"/>
      <c r="P1000" s="1184"/>
      <c r="Q1000" s="1184"/>
      <c r="R1000" s="1184"/>
      <c r="S1000" s="1184"/>
      <c r="T1000" s="1184"/>
      <c r="U1000" s="1184"/>
      <c r="V1000" s="1184"/>
      <c r="W1000" s="1184"/>
      <c r="X1000" s="1184"/>
      <c r="Y1000" s="1184"/>
      <c r="Z1000" s="1184"/>
      <c r="AA1000" s="1184"/>
      <c r="AB1000" s="1184"/>
      <c r="AC1000" s="1184"/>
      <c r="AD1000" s="1184"/>
      <c r="AE1000" s="1185"/>
      <c r="AF1000" s="1202" t="str">
        <f>IF(AND(AG999="Yes",BA1000=0),BA1002,"")</f>
        <v/>
      </c>
      <c r="AG1000" s="1203"/>
      <c r="AH1000" s="1203"/>
      <c r="AI1000" s="1204"/>
      <c r="AJ1000" s="1170"/>
      <c r="AK1000" s="1171"/>
      <c r="AL1000" s="1171"/>
      <c r="AM1000" s="1171"/>
      <c r="AN1000" s="1171"/>
      <c r="AO1000" s="1171"/>
      <c r="AP1000" s="1171"/>
      <c r="AQ1000" s="1172"/>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83"/>
      <c r="E1001" s="1184"/>
      <c r="F1001" s="1184"/>
      <c r="G1001" s="1184"/>
      <c r="H1001" s="1184"/>
      <c r="I1001" s="1184"/>
      <c r="J1001" s="1184"/>
      <c r="K1001" s="1184"/>
      <c r="L1001" s="1184"/>
      <c r="M1001" s="1184"/>
      <c r="N1001" s="1184"/>
      <c r="O1001" s="1184"/>
      <c r="P1001" s="1184"/>
      <c r="Q1001" s="1184"/>
      <c r="R1001" s="1184"/>
      <c r="S1001" s="1184"/>
      <c r="T1001" s="1184"/>
      <c r="U1001" s="1184"/>
      <c r="V1001" s="1184"/>
      <c r="W1001" s="1184"/>
      <c r="X1001" s="1184"/>
      <c r="Y1001" s="1184"/>
      <c r="Z1001" s="1184"/>
      <c r="AA1001" s="1184"/>
      <c r="AB1001" s="1184"/>
      <c r="AC1001" s="1184"/>
      <c r="AD1001" s="1184"/>
      <c r="AE1001" s="1185"/>
      <c r="AF1001" s="1202"/>
      <c r="AG1001" s="1203"/>
      <c r="AH1001" s="1203"/>
      <c r="AI1001" s="1204"/>
      <c r="AJ1001" s="1170"/>
      <c r="AK1001" s="1171"/>
      <c r="AL1001" s="1171"/>
      <c r="AM1001" s="1171"/>
      <c r="AN1001" s="1171"/>
      <c r="AO1001" s="1171"/>
      <c r="AP1001" s="1171"/>
      <c r="AQ1001" s="117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86"/>
      <c r="E1002" s="1187"/>
      <c r="F1002" s="1187"/>
      <c r="G1002" s="1187"/>
      <c r="H1002" s="1187"/>
      <c r="I1002" s="1187"/>
      <c r="J1002" s="1187"/>
      <c r="K1002" s="1187"/>
      <c r="L1002" s="1187"/>
      <c r="M1002" s="1187"/>
      <c r="N1002" s="1187"/>
      <c r="O1002" s="1187"/>
      <c r="P1002" s="1187"/>
      <c r="Q1002" s="1187"/>
      <c r="R1002" s="1187"/>
      <c r="S1002" s="1187"/>
      <c r="T1002" s="1187"/>
      <c r="U1002" s="1187"/>
      <c r="V1002" s="1187"/>
      <c r="W1002" s="1187"/>
      <c r="X1002" s="1187"/>
      <c r="Y1002" s="1187"/>
      <c r="Z1002" s="1187"/>
      <c r="AA1002" s="1187"/>
      <c r="AB1002" s="1187"/>
      <c r="AC1002" s="1187"/>
      <c r="AD1002" s="1187"/>
      <c r="AE1002" s="1188"/>
      <c r="AF1002" s="1205"/>
      <c r="AG1002" s="1206"/>
      <c r="AH1002" s="1206"/>
      <c r="AI1002" s="1207"/>
      <c r="AJ1002" s="1173"/>
      <c r="AK1002" s="1174"/>
      <c r="AL1002" s="1174"/>
      <c r="AM1002" s="1174"/>
      <c r="AN1002" s="1174"/>
      <c r="AO1002" s="1174"/>
      <c r="AP1002" s="1174"/>
      <c r="AQ1002" s="117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193" t="s">
        <v>1885</v>
      </c>
      <c r="E1003" s="1194"/>
      <c r="F1003" s="1194"/>
      <c r="G1003" s="1194"/>
      <c r="H1003" s="1194"/>
      <c r="I1003" s="1194"/>
      <c r="J1003" s="1194"/>
      <c r="K1003" s="1194"/>
      <c r="L1003" s="1194"/>
      <c r="M1003" s="1194"/>
      <c r="N1003" s="1194"/>
      <c r="O1003" s="1194"/>
      <c r="P1003" s="1194"/>
      <c r="Q1003" s="1194"/>
      <c r="R1003" s="1194"/>
      <c r="S1003" s="1194"/>
      <c r="T1003" s="1194"/>
      <c r="U1003" s="1194"/>
      <c r="V1003" s="1194"/>
      <c r="W1003" s="1194"/>
      <c r="X1003" s="1194"/>
      <c r="Y1003" s="1194"/>
      <c r="Z1003" s="1194"/>
      <c r="AA1003" s="1194"/>
      <c r="AB1003" s="1194"/>
      <c r="AC1003" s="1194"/>
      <c r="AD1003" s="1194"/>
      <c r="AE1003" s="1195"/>
      <c r="AF1003" s="82"/>
      <c r="AG1003" s="1151" t="s">
        <v>482</v>
      </c>
      <c r="AH1003" s="1152"/>
      <c r="AI1003" s="85"/>
      <c r="AJ1003" s="1167">
        <f>ROUND(IF(AND(AG1003="Yes",AF1006&lt;&gt;"",J1007&lt;&gt;"N/A"),MIN(AF1006,(0.15*AJ975)),0),0)</f>
        <v>0</v>
      </c>
      <c r="AK1003" s="1168"/>
      <c r="AL1003" s="1168"/>
      <c r="AM1003" s="1168"/>
      <c r="AN1003" s="1168"/>
      <c r="AO1003" s="1168"/>
      <c r="AP1003" s="1168"/>
      <c r="AQ1003" s="116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96"/>
      <c r="E1004" s="1197"/>
      <c r="F1004" s="1197"/>
      <c r="G1004" s="1197"/>
      <c r="H1004" s="1197"/>
      <c r="I1004" s="1197"/>
      <c r="J1004" s="1197"/>
      <c r="K1004" s="1197"/>
      <c r="L1004" s="1197"/>
      <c r="M1004" s="1197"/>
      <c r="N1004" s="1197"/>
      <c r="O1004" s="1197"/>
      <c r="P1004" s="1197"/>
      <c r="Q1004" s="1197"/>
      <c r="R1004" s="1197"/>
      <c r="S1004" s="1197"/>
      <c r="T1004" s="1197"/>
      <c r="U1004" s="1197"/>
      <c r="V1004" s="1197"/>
      <c r="W1004" s="1197"/>
      <c r="X1004" s="1197"/>
      <c r="Y1004" s="1197"/>
      <c r="Z1004" s="1197"/>
      <c r="AA1004" s="1197"/>
      <c r="AB1004" s="1197"/>
      <c r="AC1004" s="1197"/>
      <c r="AD1004" s="1197"/>
      <c r="AE1004" s="1198"/>
      <c r="AF1004" s="1202" t="str">
        <f>IF(AG1003="yes","Please Select Type and Enter Amount:","")</f>
        <v/>
      </c>
      <c r="AG1004" s="1203"/>
      <c r="AH1004" s="1203"/>
      <c r="AI1004" s="1204"/>
      <c r="AJ1004" s="1170"/>
      <c r="AK1004" s="1171"/>
      <c r="AL1004" s="1171"/>
      <c r="AM1004" s="1171"/>
      <c r="AN1004" s="1171"/>
      <c r="AO1004" s="1171"/>
      <c r="AP1004" s="1171"/>
      <c r="AQ1004" s="117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83" t="s">
        <v>1886</v>
      </c>
      <c r="E1005" s="1184"/>
      <c r="F1005" s="1184"/>
      <c r="G1005" s="1184"/>
      <c r="H1005" s="1184"/>
      <c r="I1005" s="1184"/>
      <c r="J1005" s="1184"/>
      <c r="K1005" s="1184"/>
      <c r="L1005" s="1184"/>
      <c r="M1005" s="1184"/>
      <c r="N1005" s="1184"/>
      <c r="O1005" s="1184"/>
      <c r="P1005" s="1184"/>
      <c r="Q1005" s="1184"/>
      <c r="R1005" s="1184"/>
      <c r="S1005" s="1184"/>
      <c r="T1005" s="1184"/>
      <c r="U1005" s="1184"/>
      <c r="V1005" s="1184"/>
      <c r="W1005" s="1184"/>
      <c r="X1005" s="1184"/>
      <c r="Y1005" s="1184"/>
      <c r="Z1005" s="1184"/>
      <c r="AA1005" s="1184"/>
      <c r="AB1005" s="1184"/>
      <c r="AC1005" s="1184"/>
      <c r="AD1005" s="1184"/>
      <c r="AE1005" s="1185"/>
      <c r="AF1005" s="1202"/>
      <c r="AG1005" s="1203"/>
      <c r="AH1005" s="1203"/>
      <c r="AI1005" s="1204"/>
      <c r="AJ1005" s="1170"/>
      <c r="AK1005" s="1171"/>
      <c r="AL1005" s="1171"/>
      <c r="AM1005" s="1171"/>
      <c r="AN1005" s="1171"/>
      <c r="AO1005" s="1171"/>
      <c r="AP1005" s="1171"/>
      <c r="AQ1005" s="117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83"/>
      <c r="E1006" s="1184"/>
      <c r="F1006" s="1184"/>
      <c r="G1006" s="1184"/>
      <c r="H1006" s="1184"/>
      <c r="I1006" s="1184"/>
      <c r="J1006" s="1184"/>
      <c r="K1006" s="1184"/>
      <c r="L1006" s="1184"/>
      <c r="M1006" s="1184"/>
      <c r="N1006" s="1184"/>
      <c r="O1006" s="1184"/>
      <c r="P1006" s="1184"/>
      <c r="Q1006" s="1184"/>
      <c r="R1006" s="1184"/>
      <c r="S1006" s="1184"/>
      <c r="T1006" s="1184"/>
      <c r="U1006" s="1184"/>
      <c r="V1006" s="1184"/>
      <c r="W1006" s="1184"/>
      <c r="X1006" s="1184"/>
      <c r="Y1006" s="1184"/>
      <c r="Z1006" s="1184"/>
      <c r="AA1006" s="1184"/>
      <c r="AB1006" s="1184"/>
      <c r="AC1006" s="1184"/>
      <c r="AD1006" s="1184"/>
      <c r="AE1006" s="1185"/>
      <c r="AF1006" s="1559"/>
      <c r="AG1006" s="1559"/>
      <c r="AH1006" s="1559"/>
      <c r="AI1006" s="1559"/>
      <c r="AJ1006" s="1170"/>
      <c r="AK1006" s="1171"/>
      <c r="AL1006" s="1171"/>
      <c r="AM1006" s="1171"/>
      <c r="AN1006" s="1171"/>
      <c r="AO1006" s="1171"/>
      <c r="AP1006" s="1171"/>
      <c r="AQ1006" s="117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199" t="s">
        <v>124</v>
      </c>
      <c r="K1007" s="1200"/>
      <c r="L1007" s="1200"/>
      <c r="M1007" s="1200"/>
      <c r="N1007" s="1200"/>
      <c r="O1007" s="1200"/>
      <c r="P1007" s="1200"/>
      <c r="Q1007" s="1200"/>
      <c r="R1007" s="1200"/>
      <c r="S1007" s="1200"/>
      <c r="T1007" s="1200"/>
      <c r="U1007" s="1200"/>
      <c r="V1007" s="1200"/>
      <c r="W1007" s="1200"/>
      <c r="X1007" s="1200"/>
      <c r="Y1007" s="1200"/>
      <c r="Z1007" s="1200"/>
      <c r="AA1007" s="1200"/>
      <c r="AB1007" s="1200"/>
      <c r="AC1007" s="1200"/>
      <c r="AD1007" s="1200"/>
      <c r="AE1007" s="1201"/>
      <c r="AF1007" s="1559"/>
      <c r="AG1007" s="1559"/>
      <c r="AH1007" s="1559"/>
      <c r="AI1007" s="1559"/>
      <c r="AJ1007" s="1173"/>
      <c r="AK1007" s="1174"/>
      <c r="AL1007" s="1174"/>
      <c r="AM1007" s="1174"/>
      <c r="AN1007" s="1174"/>
      <c r="AO1007" s="1174"/>
      <c r="AP1007" s="1174"/>
      <c r="AQ1007" s="117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190" t="s">
        <v>1887</v>
      </c>
      <c r="E1008" s="1191"/>
      <c r="F1008" s="1191"/>
      <c r="G1008" s="1191"/>
      <c r="H1008" s="1191"/>
      <c r="I1008" s="1191"/>
      <c r="J1008" s="1191"/>
      <c r="K1008" s="1191"/>
      <c r="L1008" s="1191"/>
      <c r="M1008" s="1191"/>
      <c r="N1008" s="1191"/>
      <c r="O1008" s="1191"/>
      <c r="P1008" s="1191"/>
      <c r="Q1008" s="1191"/>
      <c r="R1008" s="1191"/>
      <c r="S1008" s="1191"/>
      <c r="T1008" s="1191"/>
      <c r="U1008" s="1191"/>
      <c r="V1008" s="1191"/>
      <c r="W1008" s="1191"/>
      <c r="X1008" s="1191"/>
      <c r="Y1008" s="1191"/>
      <c r="Z1008" s="1191"/>
      <c r="AA1008" s="1191"/>
      <c r="AB1008" s="1191"/>
      <c r="AC1008" s="1191"/>
      <c r="AD1008" s="1191"/>
      <c r="AE1008" s="1192"/>
      <c r="AF1008" s="82"/>
      <c r="AG1008" s="1151" t="s">
        <v>108</v>
      </c>
      <c r="AH1008" s="1152"/>
      <c r="AI1008" s="85"/>
      <c r="AJ1008" s="1167">
        <f>ROUND(IF(AG1008="Yes",AF1010,0),0)</f>
        <v>1660913</v>
      </c>
      <c r="AK1008" s="1168"/>
      <c r="AL1008" s="1168"/>
      <c r="AM1008" s="1168"/>
      <c r="AN1008" s="1168"/>
      <c r="AO1008" s="1168"/>
      <c r="AP1008" s="1168"/>
      <c r="AQ1008" s="116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83" t="s">
        <v>1989</v>
      </c>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5"/>
      <c r="AF1009" s="1560" t="str">
        <f>IF(AG1008="yes","Please Enter Amount:","")</f>
        <v>Please Enter Amount:</v>
      </c>
      <c r="AG1009" s="1561"/>
      <c r="AH1009" s="1561"/>
      <c r="AI1009" s="1562"/>
      <c r="AJ1009" s="1170"/>
      <c r="AK1009" s="1171"/>
      <c r="AL1009" s="1171"/>
      <c r="AM1009" s="1171"/>
      <c r="AN1009" s="1171"/>
      <c r="AO1009" s="1171"/>
      <c r="AP1009" s="1171"/>
      <c r="AQ1009" s="117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83"/>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5"/>
      <c r="AF1010" s="1559">
        <f>+'Sources and Uses Budget'!C84</f>
        <v>1660913</v>
      </c>
      <c r="AG1010" s="1559"/>
      <c r="AH1010" s="1559"/>
      <c r="AI1010" s="1559"/>
      <c r="AJ1010" s="1170"/>
      <c r="AK1010" s="1171"/>
      <c r="AL1010" s="1171"/>
      <c r="AM1010" s="1171"/>
      <c r="AN1010" s="1171"/>
      <c r="AO1010" s="1171"/>
      <c r="AP1010" s="1171"/>
      <c r="AQ1010" s="117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86"/>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8"/>
      <c r="AF1011" s="1559"/>
      <c r="AG1011" s="1559"/>
      <c r="AH1011" s="1559"/>
      <c r="AI1011" s="1559"/>
      <c r="AJ1011" s="1173"/>
      <c r="AK1011" s="1174"/>
      <c r="AL1011" s="1174"/>
      <c r="AM1011" s="1174"/>
      <c r="AN1011" s="1174"/>
      <c r="AO1011" s="1174"/>
      <c r="AP1011" s="1174"/>
      <c r="AQ1011" s="1175"/>
      <c r="AT1011" s="43"/>
      <c r="AU1011" s="43"/>
      <c r="AV1011" s="43"/>
      <c r="AW1011" s="43"/>
      <c r="AX1011" s="38"/>
      <c r="AY1011" s="38"/>
      <c r="AZ1011" s="21"/>
      <c r="BA1011" s="21"/>
      <c r="BB1011" s="21"/>
      <c r="BC1011" s="43"/>
      <c r="BD1011" s="43"/>
    </row>
    <row r="1012" spans="1:97" ht="12.95" customHeight="1">
      <c r="A1012" s="21"/>
      <c r="B1012" s="82"/>
      <c r="C1012" s="552" t="s">
        <v>578</v>
      </c>
      <c r="D1012" s="1148" t="s">
        <v>1888</v>
      </c>
      <c r="E1012" s="1149"/>
      <c r="F1012" s="1149"/>
      <c r="G1012" s="1149"/>
      <c r="H1012" s="1149"/>
      <c r="I1012" s="1149"/>
      <c r="J1012" s="1149"/>
      <c r="K1012" s="1149"/>
      <c r="L1012" s="1149"/>
      <c r="M1012" s="1149"/>
      <c r="N1012" s="1149"/>
      <c r="O1012" s="1149"/>
      <c r="P1012" s="1149"/>
      <c r="Q1012" s="1149"/>
      <c r="R1012" s="1149"/>
      <c r="S1012" s="1149"/>
      <c r="T1012" s="1149"/>
      <c r="U1012" s="1149"/>
      <c r="V1012" s="1149"/>
      <c r="W1012" s="1149"/>
      <c r="X1012" s="1149"/>
      <c r="Y1012" s="1149"/>
      <c r="Z1012" s="1149"/>
      <c r="AA1012" s="1149"/>
      <c r="AB1012" s="1149"/>
      <c r="AC1012" s="1149"/>
      <c r="AD1012" s="1149"/>
      <c r="AE1012" s="1150"/>
      <c r="AF1012" s="82"/>
      <c r="AG1012" s="1151" t="s">
        <v>482</v>
      </c>
      <c r="AH1012" s="1152"/>
      <c r="AI1012" s="85"/>
      <c r="AJ1012" s="1167">
        <f>ROUND(IF(AG1012="yes",(AJ975*0.1),0),0)</f>
        <v>0</v>
      </c>
      <c r="AK1012" s="1168"/>
      <c r="AL1012" s="1168"/>
      <c r="AM1012" s="1168"/>
      <c r="AN1012" s="1168"/>
      <c r="AO1012" s="1168"/>
      <c r="AP1012" s="1168"/>
      <c r="AQ1012" s="1169"/>
      <c r="AT1012" s="43"/>
      <c r="AU1012" s="43"/>
      <c r="AV1012" s="43"/>
      <c r="AW1012" s="43"/>
      <c r="AX1012" s="38"/>
      <c r="AY1012" s="38"/>
      <c r="AZ1012" s="21"/>
      <c r="BA1012" s="21"/>
      <c r="BB1012" s="21"/>
      <c r="BC1012" s="43"/>
      <c r="BD1012" s="43"/>
    </row>
    <row r="1013" spans="1:97" ht="12.95" customHeight="1">
      <c r="A1013" s="21"/>
      <c r="B1013" s="79"/>
      <c r="C1013" s="553"/>
      <c r="D1013" s="1183" t="s">
        <v>1889</v>
      </c>
      <c r="E1013" s="1184"/>
      <c r="F1013" s="1184"/>
      <c r="G1013" s="1184"/>
      <c r="H1013" s="1184"/>
      <c r="I1013" s="1184"/>
      <c r="J1013" s="1184"/>
      <c r="K1013" s="1184"/>
      <c r="L1013" s="1184"/>
      <c r="M1013" s="1184"/>
      <c r="N1013" s="1184"/>
      <c r="O1013" s="1184"/>
      <c r="P1013" s="1184"/>
      <c r="Q1013" s="1184"/>
      <c r="R1013" s="1184"/>
      <c r="S1013" s="1184"/>
      <c r="T1013" s="1184"/>
      <c r="U1013" s="1184"/>
      <c r="V1013" s="1184"/>
      <c r="W1013" s="1184"/>
      <c r="X1013" s="1184"/>
      <c r="Y1013" s="1184"/>
      <c r="Z1013" s="1184"/>
      <c r="AA1013" s="1184"/>
      <c r="AB1013" s="1184"/>
      <c r="AC1013" s="1184"/>
      <c r="AD1013" s="1184"/>
      <c r="AE1013" s="1185"/>
      <c r="AF1013" s="79"/>
      <c r="AG1013" s="21"/>
      <c r="AH1013" s="21"/>
      <c r="AI1013" s="83"/>
      <c r="AJ1013" s="1170"/>
      <c r="AK1013" s="1171"/>
      <c r="AL1013" s="1171"/>
      <c r="AM1013" s="1171"/>
      <c r="AN1013" s="1171"/>
      <c r="AO1013" s="1171"/>
      <c r="AP1013" s="1171"/>
      <c r="AQ1013" s="1172"/>
      <c r="AT1013" s="43"/>
      <c r="AU1013" s="43"/>
      <c r="AV1013" s="43"/>
      <c r="AW1013" s="43"/>
      <c r="AX1013" s="38"/>
      <c r="AY1013" s="38"/>
      <c r="AZ1013" s="21"/>
      <c r="BA1013" s="21"/>
      <c r="BB1013" s="21"/>
      <c r="BC1013" s="43"/>
      <c r="BD1013" s="43"/>
    </row>
    <row r="1014" spans="1:97" ht="12.95" customHeight="1">
      <c r="A1014" s="551"/>
      <c r="B1014" s="80"/>
      <c r="C1014" s="553"/>
      <c r="D1014" s="1186"/>
      <c r="E1014" s="1187"/>
      <c r="F1014" s="1187"/>
      <c r="G1014" s="1187"/>
      <c r="H1014" s="1187"/>
      <c r="I1014" s="1187"/>
      <c r="J1014" s="1187"/>
      <c r="K1014" s="1187"/>
      <c r="L1014" s="1187"/>
      <c r="M1014" s="1187"/>
      <c r="N1014" s="1187"/>
      <c r="O1014" s="1187"/>
      <c r="P1014" s="1187"/>
      <c r="Q1014" s="1187"/>
      <c r="R1014" s="1187"/>
      <c r="S1014" s="1187"/>
      <c r="T1014" s="1187"/>
      <c r="U1014" s="1187"/>
      <c r="V1014" s="1187"/>
      <c r="W1014" s="1187"/>
      <c r="X1014" s="1187"/>
      <c r="Y1014" s="1187"/>
      <c r="Z1014" s="1187"/>
      <c r="AA1014" s="1187"/>
      <c r="AB1014" s="1187"/>
      <c r="AC1014" s="1187"/>
      <c r="AD1014" s="1187"/>
      <c r="AE1014" s="1188"/>
      <c r="AF1014" s="79"/>
      <c r="AG1014" s="21"/>
      <c r="AH1014" s="21"/>
      <c r="AI1014" s="83"/>
      <c r="AJ1014" s="1173"/>
      <c r="AK1014" s="1174"/>
      <c r="AL1014" s="1174"/>
      <c r="AM1014" s="1174"/>
      <c r="AN1014" s="1174"/>
      <c r="AO1014" s="1174"/>
      <c r="AP1014" s="1174"/>
      <c r="AQ1014" s="1175"/>
      <c r="AT1014" s="43"/>
      <c r="AU1014" s="43"/>
      <c r="AV1014" s="43"/>
      <c r="AW1014" s="43"/>
      <c r="AX1014" s="38"/>
      <c r="AY1014" s="38"/>
      <c r="AZ1014" s="21"/>
      <c r="BA1014" s="21"/>
      <c r="BB1014" s="21"/>
      <c r="BC1014" s="43"/>
      <c r="BD1014" s="43"/>
    </row>
    <row r="1015" spans="1:97" ht="12.95" customHeight="1">
      <c r="A1015" s="551"/>
      <c r="B1015" s="79"/>
      <c r="C1015" s="552" t="s">
        <v>581</v>
      </c>
      <c r="D1015" s="1190" t="s">
        <v>1990</v>
      </c>
      <c r="E1015" s="1191"/>
      <c r="F1015" s="1191"/>
      <c r="G1015" s="1191"/>
      <c r="H1015" s="1191"/>
      <c r="I1015" s="1191"/>
      <c r="J1015" s="1191"/>
      <c r="K1015" s="1191"/>
      <c r="L1015" s="1191"/>
      <c r="M1015" s="1191"/>
      <c r="N1015" s="1191"/>
      <c r="O1015" s="1191"/>
      <c r="P1015" s="1191"/>
      <c r="Q1015" s="1191"/>
      <c r="R1015" s="1191"/>
      <c r="S1015" s="1191"/>
      <c r="T1015" s="1191"/>
      <c r="U1015" s="1191"/>
      <c r="V1015" s="1191"/>
      <c r="W1015" s="1191"/>
      <c r="X1015" s="1191"/>
      <c r="Y1015" s="1191"/>
      <c r="Z1015" s="1191"/>
      <c r="AA1015" s="1191"/>
      <c r="AB1015" s="1191"/>
      <c r="AC1015" s="1191"/>
      <c r="AD1015" s="1191"/>
      <c r="AE1015" s="1192"/>
      <c r="AF1015" s="82"/>
      <c r="AG1015" s="1151" t="s">
        <v>482</v>
      </c>
      <c r="AH1015" s="1152"/>
      <c r="AI1015" s="85"/>
      <c r="AJ1015" s="1167">
        <f>ROUND(IF(AG1015="yes",(AJ975*0.15),0),0)</f>
        <v>0</v>
      </c>
      <c r="AK1015" s="1168"/>
      <c r="AL1015" s="1168"/>
      <c r="AM1015" s="1168"/>
      <c r="AN1015" s="1168"/>
      <c r="AO1015" s="1168"/>
      <c r="AP1015" s="1168"/>
      <c r="AQ1015" s="1169"/>
      <c r="AT1015" s="43"/>
      <c r="AU1015" s="43"/>
      <c r="AV1015" s="43"/>
      <c r="AW1015" s="43"/>
      <c r="AX1015" s="43"/>
      <c r="AY1015" s="43"/>
      <c r="AZ1015" s="43"/>
      <c r="BA1015" s="43"/>
      <c r="BB1015" s="43"/>
      <c r="BC1015" s="43"/>
      <c r="BD1015" s="43"/>
    </row>
    <row r="1016" spans="1:97" ht="12.95" customHeight="1">
      <c r="A1016" s="551"/>
      <c r="B1016" s="79"/>
      <c r="C1016" s="553"/>
      <c r="D1016" s="1178" t="s">
        <v>1991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79"/>
      <c r="AF1016" s="868"/>
      <c r="AG1016" s="869"/>
      <c r="AH1016" s="869"/>
      <c r="AI1016" s="870"/>
      <c r="AJ1016" s="1170"/>
      <c r="AK1016" s="1171"/>
      <c r="AL1016" s="1171"/>
      <c r="AM1016" s="1171"/>
      <c r="AN1016" s="1171"/>
      <c r="AO1016" s="1171"/>
      <c r="AP1016" s="1171"/>
      <c r="AQ1016" s="117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78"/>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79"/>
      <c r="AF1017" s="868"/>
      <c r="AG1017" s="869"/>
      <c r="AH1017" s="869"/>
      <c r="AI1017" s="870"/>
      <c r="AJ1017" s="1170"/>
      <c r="AK1017" s="1171"/>
      <c r="AL1017" s="1171"/>
      <c r="AM1017" s="1171"/>
      <c r="AN1017" s="1171"/>
      <c r="AO1017" s="1171"/>
      <c r="AP1017" s="1171"/>
      <c r="AQ1017" s="117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80"/>
      <c r="E1018" s="1181"/>
      <c r="F1018" s="1181"/>
      <c r="G1018" s="1181"/>
      <c r="H1018" s="1181"/>
      <c r="I1018" s="1181"/>
      <c r="J1018" s="1181"/>
      <c r="K1018" s="1181"/>
      <c r="L1018" s="1181"/>
      <c r="M1018" s="1181"/>
      <c r="N1018" s="1181"/>
      <c r="O1018" s="1181"/>
      <c r="P1018" s="1181"/>
      <c r="Q1018" s="1181"/>
      <c r="R1018" s="1181"/>
      <c r="S1018" s="1181"/>
      <c r="T1018" s="1181"/>
      <c r="U1018" s="1181"/>
      <c r="V1018" s="1181"/>
      <c r="W1018" s="1181"/>
      <c r="X1018" s="1181"/>
      <c r="Y1018" s="1181"/>
      <c r="Z1018" s="1181"/>
      <c r="AA1018" s="1181"/>
      <c r="AB1018" s="1181"/>
      <c r="AC1018" s="1181"/>
      <c r="AD1018" s="1181"/>
      <c r="AE1018" s="1182"/>
      <c r="AF1018" s="871"/>
      <c r="AG1018" s="872"/>
      <c r="AH1018" s="872"/>
      <c r="AI1018" s="873"/>
      <c r="AJ1018" s="1173"/>
      <c r="AK1018" s="1174"/>
      <c r="AL1018" s="1174"/>
      <c r="AM1018" s="1174"/>
      <c r="AN1018" s="1174"/>
      <c r="AO1018" s="1174"/>
      <c r="AP1018" s="1174"/>
      <c r="AQ1018" s="117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48" t="s">
        <v>1992</v>
      </c>
      <c r="E1019" s="1149"/>
      <c r="F1019" s="1149"/>
      <c r="G1019" s="1149"/>
      <c r="H1019" s="1149"/>
      <c r="I1019" s="1149"/>
      <c r="J1019" s="1149"/>
      <c r="K1019" s="1149"/>
      <c r="L1019" s="1149"/>
      <c r="M1019" s="1149"/>
      <c r="N1019" s="1149"/>
      <c r="O1019" s="1149"/>
      <c r="P1019" s="1149"/>
      <c r="Q1019" s="1149"/>
      <c r="R1019" s="1149"/>
      <c r="S1019" s="1149"/>
      <c r="T1019" s="1149"/>
      <c r="U1019" s="1149"/>
      <c r="V1019" s="1149"/>
      <c r="W1019" s="1149"/>
      <c r="X1019" s="1149"/>
      <c r="Y1019" s="1149"/>
      <c r="Z1019" s="1149"/>
      <c r="AA1019" s="1149"/>
      <c r="AB1019" s="1149"/>
      <c r="AC1019" s="1149"/>
      <c r="AD1019" s="1149"/>
      <c r="AE1019" s="1150"/>
      <c r="AF1019" s="79"/>
      <c r="AG1019" s="1176" t="s">
        <v>482</v>
      </c>
      <c r="AH1019" s="1177"/>
      <c r="AI1019" s="83"/>
      <c r="AJ1019" s="1167">
        <f>ROUND(IF(AG1019="yes",(AJ975*0.1),0),0)</f>
        <v>0</v>
      </c>
      <c r="AK1019" s="1168"/>
      <c r="AL1019" s="1168"/>
      <c r="AM1019" s="1168"/>
      <c r="AN1019" s="1168"/>
      <c r="AO1019" s="1168"/>
      <c r="AP1019" s="1168"/>
      <c r="AQ1019" s="11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78" t="s">
        <v>1993</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79"/>
      <c r="AF1020" s="79"/>
      <c r="AG1020" s="21"/>
      <c r="AH1020" s="21"/>
      <c r="AI1020" s="83"/>
      <c r="AJ1020" s="1170"/>
      <c r="AK1020" s="1171"/>
      <c r="AL1020" s="1171"/>
      <c r="AM1020" s="1171"/>
      <c r="AN1020" s="1171"/>
      <c r="AO1020" s="1171"/>
      <c r="AP1020" s="1171"/>
      <c r="AQ1020" s="117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78"/>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79"/>
      <c r="AF1021" s="79"/>
      <c r="AG1021" s="21"/>
      <c r="AH1021" s="21"/>
      <c r="AI1021" s="83"/>
      <c r="AJ1021" s="1170"/>
      <c r="AK1021" s="1171"/>
      <c r="AL1021" s="1171"/>
      <c r="AM1021" s="1171"/>
      <c r="AN1021" s="1171"/>
      <c r="AO1021" s="1171"/>
      <c r="AP1021" s="1171"/>
      <c r="AQ1021" s="117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78"/>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79"/>
      <c r="AF1022" s="79"/>
      <c r="AG1022" s="21"/>
      <c r="AH1022" s="21"/>
      <c r="AI1022" s="83"/>
      <c r="AJ1022" s="1170"/>
      <c r="AK1022" s="1171"/>
      <c r="AL1022" s="1171"/>
      <c r="AM1022" s="1171"/>
      <c r="AN1022" s="1171"/>
      <c r="AO1022" s="1171"/>
      <c r="AP1022" s="1171"/>
      <c r="AQ1022" s="117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80"/>
      <c r="E1023" s="1181"/>
      <c r="F1023" s="1181"/>
      <c r="G1023" s="1181"/>
      <c r="H1023" s="1181"/>
      <c r="I1023" s="1181"/>
      <c r="J1023" s="1181"/>
      <c r="K1023" s="1181"/>
      <c r="L1023" s="1181"/>
      <c r="M1023" s="1181"/>
      <c r="N1023" s="1181"/>
      <c r="O1023" s="1181"/>
      <c r="P1023" s="1181"/>
      <c r="Q1023" s="1181"/>
      <c r="R1023" s="1181"/>
      <c r="S1023" s="1181"/>
      <c r="T1023" s="1181"/>
      <c r="U1023" s="1181"/>
      <c r="V1023" s="1181"/>
      <c r="W1023" s="1181"/>
      <c r="X1023" s="1181"/>
      <c r="Y1023" s="1181"/>
      <c r="Z1023" s="1181"/>
      <c r="AA1023" s="1181"/>
      <c r="AB1023" s="1181"/>
      <c r="AC1023" s="1181"/>
      <c r="AD1023" s="1181"/>
      <c r="AE1023" s="1182"/>
      <c r="AF1023" s="79"/>
      <c r="AG1023" s="21"/>
      <c r="AH1023" s="21"/>
      <c r="AI1023" s="83"/>
      <c r="AJ1023" s="1170"/>
      <c r="AK1023" s="1171"/>
      <c r="AL1023" s="1171"/>
      <c r="AM1023" s="1171"/>
      <c r="AN1023" s="1171"/>
      <c r="AO1023" s="1171"/>
      <c r="AP1023" s="1171"/>
      <c r="AQ1023" s="117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190" t="s">
        <v>1890</v>
      </c>
      <c r="E1024" s="1191"/>
      <c r="F1024" s="1191"/>
      <c r="G1024" s="1191"/>
      <c r="H1024" s="1191"/>
      <c r="I1024" s="1191"/>
      <c r="J1024" s="1191"/>
      <c r="K1024" s="1191"/>
      <c r="L1024" s="1191"/>
      <c r="M1024" s="1191"/>
      <c r="N1024" s="1191"/>
      <c r="O1024" s="1191"/>
      <c r="P1024" s="1191"/>
      <c r="Q1024" s="1191"/>
      <c r="R1024" s="1191"/>
      <c r="S1024" s="1191"/>
      <c r="T1024" s="1191"/>
      <c r="U1024" s="1191"/>
      <c r="V1024" s="1191"/>
      <c r="W1024" s="1191"/>
      <c r="X1024" s="1191"/>
      <c r="Y1024" s="1191"/>
      <c r="Z1024" s="1191"/>
      <c r="AA1024" s="1191"/>
      <c r="AB1024" s="1191"/>
      <c r="AC1024" s="1191"/>
      <c r="AD1024" s="1191"/>
      <c r="AE1024" s="1192"/>
      <c r="AF1024" s="82"/>
      <c r="AG1024" s="1151" t="s">
        <v>482</v>
      </c>
      <c r="AH1024" s="1152"/>
      <c r="AI1024" s="85"/>
      <c r="AJ1024" s="1167">
        <f>ROUND(IF(AG1024="yes",(AJ975*0.1),0),0)</f>
        <v>0</v>
      </c>
      <c r="AK1024" s="1168"/>
      <c r="AL1024" s="1168"/>
      <c r="AM1024" s="1168"/>
      <c r="AN1024" s="1168"/>
      <c r="AO1024" s="1168"/>
      <c r="AP1024" s="1168"/>
      <c r="AQ1024" s="116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83" t="s">
        <v>2198</v>
      </c>
      <c r="E1025" s="1184"/>
      <c r="F1025" s="1184"/>
      <c r="G1025" s="1184"/>
      <c r="H1025" s="1184"/>
      <c r="I1025" s="1184"/>
      <c r="J1025" s="1184"/>
      <c r="K1025" s="1184"/>
      <c r="L1025" s="1184"/>
      <c r="M1025" s="1184"/>
      <c r="N1025" s="1184"/>
      <c r="O1025" s="1184"/>
      <c r="P1025" s="1184"/>
      <c r="Q1025" s="1184"/>
      <c r="R1025" s="1184"/>
      <c r="S1025" s="1184"/>
      <c r="T1025" s="1184"/>
      <c r="U1025" s="1184"/>
      <c r="V1025" s="1184"/>
      <c r="W1025" s="1184"/>
      <c r="X1025" s="1184"/>
      <c r="Y1025" s="1184"/>
      <c r="Z1025" s="1184"/>
      <c r="AA1025" s="1184"/>
      <c r="AB1025" s="1184"/>
      <c r="AC1025" s="1184"/>
      <c r="AD1025" s="1184"/>
      <c r="AE1025" s="1185"/>
      <c r="AF1025" s="79"/>
      <c r="AG1025" s="21"/>
      <c r="AH1025" s="21"/>
      <c r="AI1025" s="83"/>
      <c r="AJ1025" s="1170"/>
      <c r="AK1025" s="1171"/>
      <c r="AL1025" s="1171"/>
      <c r="AM1025" s="1171"/>
      <c r="AN1025" s="1171"/>
      <c r="AO1025" s="1171"/>
      <c r="AP1025" s="1171"/>
      <c r="AQ1025" s="117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83"/>
      <c r="E1026" s="1184"/>
      <c r="F1026" s="1184"/>
      <c r="G1026" s="1184"/>
      <c r="H1026" s="1184"/>
      <c r="I1026" s="1184"/>
      <c r="J1026" s="1184"/>
      <c r="K1026" s="1184"/>
      <c r="L1026" s="1184"/>
      <c r="M1026" s="1184"/>
      <c r="N1026" s="1184"/>
      <c r="O1026" s="1184"/>
      <c r="P1026" s="1184"/>
      <c r="Q1026" s="1184"/>
      <c r="R1026" s="1184"/>
      <c r="S1026" s="1184"/>
      <c r="T1026" s="1184"/>
      <c r="U1026" s="1184"/>
      <c r="V1026" s="1184"/>
      <c r="W1026" s="1184"/>
      <c r="X1026" s="1184"/>
      <c r="Y1026" s="1184"/>
      <c r="Z1026" s="1184"/>
      <c r="AA1026" s="1184"/>
      <c r="AB1026" s="1184"/>
      <c r="AC1026" s="1184"/>
      <c r="AD1026" s="1184"/>
      <c r="AE1026" s="1185"/>
      <c r="AF1026" s="79"/>
      <c r="AG1026" s="21"/>
      <c r="AH1026" s="21"/>
      <c r="AI1026" s="83"/>
      <c r="AJ1026" s="1170"/>
      <c r="AK1026" s="1171"/>
      <c r="AL1026" s="1171"/>
      <c r="AM1026" s="1171"/>
      <c r="AN1026" s="1171"/>
      <c r="AO1026" s="1171"/>
      <c r="AP1026" s="1171"/>
      <c r="AQ1026" s="117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86"/>
      <c r="E1027" s="1187"/>
      <c r="F1027" s="1187"/>
      <c r="G1027" s="1187"/>
      <c r="H1027" s="1187"/>
      <c r="I1027" s="1187"/>
      <c r="J1027" s="1187"/>
      <c r="K1027" s="1187"/>
      <c r="L1027" s="1187"/>
      <c r="M1027" s="1187"/>
      <c r="N1027" s="1187"/>
      <c r="O1027" s="1187"/>
      <c r="P1027" s="1187"/>
      <c r="Q1027" s="1187"/>
      <c r="R1027" s="1187"/>
      <c r="S1027" s="1187"/>
      <c r="T1027" s="1187"/>
      <c r="U1027" s="1187"/>
      <c r="V1027" s="1187"/>
      <c r="W1027" s="1187"/>
      <c r="X1027" s="1187"/>
      <c r="Y1027" s="1187"/>
      <c r="Z1027" s="1187"/>
      <c r="AA1027" s="1187"/>
      <c r="AB1027" s="1187"/>
      <c r="AC1027" s="1187"/>
      <c r="AD1027" s="1187"/>
      <c r="AE1027" s="1188"/>
      <c r="AF1027" s="79"/>
      <c r="AG1027" s="21"/>
      <c r="AH1027" s="21"/>
      <c r="AI1027" s="83"/>
      <c r="AJ1027" s="1173"/>
      <c r="AK1027" s="1174"/>
      <c r="AL1027" s="1174"/>
      <c r="AM1027" s="1174"/>
      <c r="AN1027" s="1174"/>
      <c r="AO1027" s="1174"/>
      <c r="AP1027" s="1174"/>
      <c r="AQ1027" s="117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82" t="s">
        <v>748</v>
      </c>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3"/>
      <c r="AJ1028" s="1584">
        <f>SUM(AJ975:AQ1027)</f>
        <v>19750147</v>
      </c>
      <c r="AK1028" s="1585"/>
      <c r="AL1028" s="1585"/>
      <c r="AM1028" s="1585"/>
      <c r="AN1028" s="1585"/>
      <c r="AO1028" s="1585"/>
      <c r="AP1028" s="1585"/>
      <c r="AQ1028" s="158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25">
        <f>'Sources and Uses Budget'!S106+'Sources and Uses Budget'!T106</f>
        <v>22351129</v>
      </c>
      <c r="Y1032" s="1425"/>
      <c r="Z1032" s="1425"/>
      <c r="AA1032" s="1425"/>
      <c r="AB1032" s="1425"/>
      <c r="AC1032" s="1425"/>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21">
        <f>IFERROR(X1032/AJ1028,"")</f>
        <v>1.1316943109334832</v>
      </c>
      <c r="Y1033" s="1422"/>
      <c r="Z1033" s="1422"/>
      <c r="AA1033" s="1422"/>
      <c r="AB1033" s="1422"/>
      <c r="AC1033" s="142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91"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91"/>
      <c r="F1034" s="1191"/>
      <c r="G1034" s="1191"/>
      <c r="H1034" s="1191"/>
      <c r="I1034" s="1191"/>
      <c r="J1034" s="1191"/>
      <c r="K1034" s="1191"/>
      <c r="L1034" s="1191"/>
      <c r="M1034" s="1191"/>
      <c r="N1034" s="1191"/>
      <c r="O1034" s="1191"/>
      <c r="P1034" s="1191"/>
      <c r="Q1034" s="1191"/>
      <c r="R1034" s="1191"/>
      <c r="S1034" s="1191"/>
      <c r="T1034" s="1191"/>
      <c r="U1034" s="1191"/>
      <c r="V1034" s="1191"/>
      <c r="W1034" s="1191"/>
      <c r="X1034" s="1191"/>
      <c r="Y1034" s="1191"/>
      <c r="Z1034" s="1191"/>
      <c r="AA1034" s="1191"/>
      <c r="AB1034" s="1191"/>
      <c r="AC1034" s="1191"/>
      <c r="AD1034" s="1191"/>
      <c r="AE1034" s="1191"/>
      <c r="AF1034" s="1191"/>
      <c r="AG1034" s="1191"/>
      <c r="AH1034" s="1191"/>
      <c r="AI1034" s="1191"/>
      <c r="AJ1034" s="1191"/>
      <c r="AK1034" s="1191"/>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91"/>
      <c r="E1035" s="1191"/>
      <c r="F1035" s="1191"/>
      <c r="G1035" s="1191"/>
      <c r="H1035" s="1191"/>
      <c r="I1035" s="1191"/>
      <c r="J1035" s="1191"/>
      <c r="K1035" s="1191"/>
      <c r="L1035" s="1191"/>
      <c r="M1035" s="1191"/>
      <c r="N1035" s="1191"/>
      <c r="O1035" s="1191"/>
      <c r="P1035" s="1191"/>
      <c r="Q1035" s="1191"/>
      <c r="R1035" s="1191"/>
      <c r="S1035" s="1191"/>
      <c r="T1035" s="1191"/>
      <c r="U1035" s="1191"/>
      <c r="V1035" s="1191"/>
      <c r="W1035" s="1191"/>
      <c r="X1035" s="1191"/>
      <c r="Y1035" s="1191"/>
      <c r="Z1035" s="1191"/>
      <c r="AA1035" s="1191"/>
      <c r="AB1035" s="1191"/>
      <c r="AC1035" s="1191"/>
      <c r="AD1035" s="1191"/>
      <c r="AE1035" s="1191"/>
      <c r="AF1035" s="1191"/>
      <c r="AG1035" s="1191"/>
      <c r="AH1035" s="1191"/>
      <c r="AI1035" s="1191"/>
      <c r="AJ1035" s="1191"/>
      <c r="AK1035" s="119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91"/>
      <c r="E1036" s="1191"/>
      <c r="F1036" s="1191"/>
      <c r="G1036" s="1191"/>
      <c r="H1036" s="1191"/>
      <c r="I1036" s="1191"/>
      <c r="J1036" s="1191"/>
      <c r="K1036" s="1191"/>
      <c r="L1036" s="1191"/>
      <c r="M1036" s="1191"/>
      <c r="N1036" s="1191"/>
      <c r="O1036" s="1191"/>
      <c r="P1036" s="1191"/>
      <c r="Q1036" s="1191"/>
      <c r="R1036" s="1191"/>
      <c r="S1036" s="1191"/>
      <c r="T1036" s="1191"/>
      <c r="U1036" s="1191"/>
      <c r="V1036" s="1191"/>
      <c r="W1036" s="1191"/>
      <c r="X1036" s="1191"/>
      <c r="Y1036" s="1191"/>
      <c r="Z1036" s="1191"/>
      <c r="AA1036" s="1191"/>
      <c r="AB1036" s="1191"/>
      <c r="AC1036" s="1191"/>
      <c r="AD1036" s="1191"/>
      <c r="AE1036" s="1191"/>
      <c r="AF1036" s="1191"/>
      <c r="AG1036" s="1191"/>
      <c r="AH1036" s="1191"/>
      <c r="AI1036" s="1191"/>
      <c r="AJ1036" s="1191"/>
      <c r="AK1036" s="119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24"/>
      <c r="C1039" s="1424"/>
      <c r="D1039" s="1424"/>
      <c r="E1039" s="1424"/>
      <c r="F1039" s="1424"/>
      <c r="G1039" s="1424"/>
      <c r="H1039" s="1424"/>
      <c r="I1039" s="1424"/>
      <c r="J1039" s="1424"/>
      <c r="K1039" s="1424"/>
      <c r="L1039" s="1424"/>
      <c r="M1039" s="1424"/>
      <c r="N1039" s="1424"/>
      <c r="O1039" s="1424"/>
      <c r="P1039" s="1424"/>
      <c r="Q1039" s="1424"/>
      <c r="R1039" s="1424"/>
      <c r="S1039" s="1424"/>
      <c r="T1039" s="1424"/>
      <c r="U1039" s="1424"/>
      <c r="V1039" s="1424"/>
      <c r="W1039" s="1424"/>
      <c r="X1039" s="1424"/>
      <c r="Y1039" s="1424"/>
      <c r="Z1039" s="1424"/>
      <c r="AA1039" s="1424"/>
      <c r="AB1039" s="1424"/>
      <c r="AC1039" s="1424"/>
      <c r="AD1039" s="1424"/>
      <c r="AE1039" s="1424"/>
      <c r="AF1039" s="1424"/>
      <c r="AG1039" s="1424"/>
      <c r="AH1039" s="1424"/>
      <c r="AI1039" s="1424"/>
      <c r="AJ1039" s="1424"/>
      <c r="AK1039" s="142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89" t="s">
        <v>989</v>
      </c>
      <c r="B1040" s="1189"/>
      <c r="C1040" s="1189"/>
      <c r="D1040" s="1189"/>
      <c r="E1040" s="1189"/>
      <c r="F1040" s="1189"/>
      <c r="G1040" s="1189"/>
      <c r="H1040" s="1189"/>
      <c r="I1040" s="1189"/>
      <c r="J1040" s="1189"/>
      <c r="K1040" s="1189"/>
      <c r="L1040" s="1189"/>
      <c r="M1040" s="1189"/>
      <c r="N1040" s="1189"/>
      <c r="O1040" s="1189"/>
      <c r="P1040" s="1189"/>
      <c r="Q1040" s="1189"/>
      <c r="R1040" s="1189"/>
      <c r="S1040" s="1189"/>
      <c r="T1040" s="1189"/>
      <c r="U1040" s="1189"/>
      <c r="V1040" s="1189"/>
      <c r="W1040" s="1189"/>
      <c r="X1040" s="1189"/>
      <c r="Y1040" s="1189"/>
      <c r="Z1040" s="1189"/>
      <c r="AA1040" s="1189"/>
      <c r="AB1040" s="1189"/>
      <c r="AC1040" s="1189"/>
      <c r="AD1040" s="1189"/>
      <c r="AE1040" s="1189"/>
      <c r="AF1040" s="1189"/>
      <c r="AG1040" s="1189"/>
      <c r="AH1040" s="1189"/>
      <c r="AI1040" s="1189"/>
      <c r="AJ1040" s="1189"/>
      <c r="AK1040" s="1189"/>
      <c r="AL1040" s="1189"/>
      <c r="AM1040" s="1189"/>
      <c r="AN1040" s="1189"/>
      <c r="AO1040" s="1189"/>
      <c r="AP1040" s="1189"/>
      <c r="AQ1040" s="1189"/>
      <c r="AR1040" s="1189"/>
      <c r="AS1040" s="1189"/>
      <c r="AT1040" s="118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84" t="s">
        <v>124</v>
      </c>
      <c r="B1044" s="1084"/>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84" t="s">
        <v>124</v>
      </c>
      <c r="B1046" s="1084"/>
      <c r="C1046" s="1">
        <v>2</v>
      </c>
      <c r="D1046" s="1603" t="s">
        <v>2309</v>
      </c>
      <c r="E1046" s="1603"/>
      <c r="F1046" s="1603"/>
      <c r="G1046" s="1603"/>
      <c r="H1046" s="1603"/>
      <c r="I1046" s="1603"/>
      <c r="J1046" s="1603"/>
      <c r="K1046" s="1603"/>
      <c r="L1046" s="1603"/>
      <c r="M1046" s="1603"/>
      <c r="N1046" s="1603"/>
      <c r="O1046" s="1603"/>
      <c r="P1046" s="1603"/>
      <c r="Q1046" s="1603"/>
      <c r="R1046" s="1603"/>
      <c r="S1046" s="1603"/>
      <c r="T1046" s="1603"/>
      <c r="U1046" s="1603"/>
      <c r="V1046" s="1603"/>
      <c r="W1046" s="1603"/>
      <c r="X1046" s="1603"/>
      <c r="Y1046" s="1603"/>
      <c r="Z1046" s="1603"/>
      <c r="AA1046" s="1603"/>
      <c r="AB1046" s="1603"/>
      <c r="AC1046" s="1603"/>
      <c r="AD1046" s="1603"/>
      <c r="AE1046" s="1603"/>
      <c r="AF1046" s="1603"/>
      <c r="AG1046" s="1603"/>
      <c r="AH1046" s="1603"/>
      <c r="AI1046" s="1603"/>
      <c r="AJ1046" s="1603"/>
      <c r="AK1046" s="1603"/>
      <c r="AL1046" s="1603"/>
      <c r="AM1046" s="1603"/>
      <c r="AN1046" s="1603"/>
      <c r="AO1046" s="1603"/>
      <c r="AP1046" s="1603"/>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603"/>
      <c r="E1047" s="1603"/>
      <c r="F1047" s="1603"/>
      <c r="G1047" s="1603"/>
      <c r="H1047" s="1603"/>
      <c r="I1047" s="1603"/>
      <c r="J1047" s="1603"/>
      <c r="K1047" s="1603"/>
      <c r="L1047" s="1603"/>
      <c r="M1047" s="1603"/>
      <c r="N1047" s="1603"/>
      <c r="O1047" s="1603"/>
      <c r="P1047" s="1603"/>
      <c r="Q1047" s="1603"/>
      <c r="R1047" s="1603"/>
      <c r="S1047" s="1603"/>
      <c r="T1047" s="1603"/>
      <c r="U1047" s="1603"/>
      <c r="V1047" s="1603"/>
      <c r="W1047" s="1603"/>
      <c r="X1047" s="1603"/>
      <c r="Y1047" s="1603"/>
      <c r="Z1047" s="1603"/>
      <c r="AA1047" s="1603"/>
      <c r="AB1047" s="1603"/>
      <c r="AC1047" s="1603"/>
      <c r="AD1047" s="1603"/>
      <c r="AE1047" s="1603"/>
      <c r="AF1047" s="1603"/>
      <c r="AG1047" s="1603"/>
      <c r="AH1047" s="1603"/>
      <c r="AI1047" s="1603"/>
      <c r="AJ1047" s="1603"/>
      <c r="AK1047" s="1603"/>
      <c r="AL1047" s="1603"/>
      <c r="AM1047" s="1603"/>
      <c r="AN1047" s="1603"/>
      <c r="AO1047" s="1603"/>
      <c r="AP1047" s="1603"/>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84" t="s">
        <v>124</v>
      </c>
      <c r="B1049" s="1084"/>
      <c r="C1049" s="1">
        <v>3</v>
      </c>
      <c r="D1049" s="980" t="s">
        <v>2310</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084" t="s">
        <v>124</v>
      </c>
      <c r="B1054" s="1084"/>
      <c r="C1054" s="1">
        <v>4</v>
      </c>
      <c r="D1054" s="980" t="s">
        <v>2311</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084" t="s">
        <v>124</v>
      </c>
      <c r="B1059" s="1084"/>
      <c r="C1059" s="1">
        <v>5</v>
      </c>
      <c r="D1059" s="977" t="s">
        <v>2312</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084" t="s">
        <v>124</v>
      </c>
      <c r="B1063" s="1084"/>
      <c r="C1063" s="1">
        <v>6</v>
      </c>
      <c r="D1063" s="977" t="s">
        <v>2033</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084" t="s">
        <v>124</v>
      </c>
      <c r="B1067" s="1084"/>
      <c r="C1067" s="964">
        <v>7</v>
      </c>
      <c r="D1067" s="980" t="s">
        <v>1714</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084" t="s">
        <v>124</v>
      </c>
      <c r="B1071" s="1084"/>
      <c r="C1071" s="964">
        <v>8</v>
      </c>
      <c r="D1071" s="1604" t="s">
        <v>1517</v>
      </c>
      <c r="E1071" s="1604"/>
      <c r="F1071" s="1604"/>
      <c r="G1071" s="1604"/>
      <c r="H1071" s="1604"/>
      <c r="I1071" s="1604"/>
      <c r="J1071" s="1604"/>
      <c r="K1071" s="1604"/>
      <c r="L1071" s="1604"/>
      <c r="M1071" s="1604"/>
      <c r="N1071" s="1604"/>
      <c r="O1071" s="1604"/>
      <c r="P1071" s="1604"/>
      <c r="Q1071" s="1604"/>
      <c r="R1071" s="1604"/>
      <c r="S1071" s="1604"/>
      <c r="T1071" s="1604"/>
      <c r="U1071" s="1604"/>
      <c r="V1071" s="1604"/>
      <c r="W1071" s="1604"/>
      <c r="X1071" s="1604"/>
      <c r="Y1071" s="1604"/>
      <c r="Z1071" s="1604"/>
      <c r="AA1071" s="1604"/>
      <c r="AB1071" s="1604"/>
      <c r="AC1071" s="1604"/>
      <c r="AD1071" s="1604"/>
      <c r="AE1071" s="1604"/>
      <c r="AF1071" s="1604"/>
      <c r="AG1071" s="1604"/>
      <c r="AH1071" s="1604"/>
      <c r="AI1071" s="1604"/>
      <c r="AJ1071" s="1604"/>
      <c r="AK1071" s="1604"/>
      <c r="AL1071" s="1604"/>
      <c r="AM1071" s="1604"/>
      <c r="AN1071" s="1604"/>
      <c r="AO1071" s="1604"/>
      <c r="AP1071" s="1604"/>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604"/>
      <c r="E1072" s="1604"/>
      <c r="F1072" s="1604"/>
      <c r="G1072" s="1604"/>
      <c r="H1072" s="1604"/>
      <c r="I1072" s="1604"/>
      <c r="J1072" s="1604"/>
      <c r="K1072" s="1604"/>
      <c r="L1072" s="1604"/>
      <c r="M1072" s="1604"/>
      <c r="N1072" s="1604"/>
      <c r="O1072" s="1604"/>
      <c r="P1072" s="1604"/>
      <c r="Q1072" s="1604"/>
      <c r="R1072" s="1604"/>
      <c r="S1072" s="1604"/>
      <c r="T1072" s="1604"/>
      <c r="U1072" s="1604"/>
      <c r="V1072" s="1604"/>
      <c r="W1072" s="1604"/>
      <c r="X1072" s="1604"/>
      <c r="Y1072" s="1604"/>
      <c r="Z1072" s="1604"/>
      <c r="AA1072" s="1604"/>
      <c r="AB1072" s="1604"/>
      <c r="AC1072" s="1604"/>
      <c r="AD1072" s="1604"/>
      <c r="AE1072" s="1604"/>
      <c r="AF1072" s="1604"/>
      <c r="AG1072" s="1604"/>
      <c r="AH1072" s="1604"/>
      <c r="AI1072" s="1604"/>
      <c r="AJ1072" s="1604"/>
      <c r="AK1072" s="1604"/>
      <c r="AL1072" s="1604"/>
      <c r="AM1072" s="1604"/>
      <c r="AN1072" s="1604"/>
      <c r="AO1072" s="1604"/>
      <c r="AP1072" s="1604"/>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54" t="s">
        <v>124</v>
      </c>
      <c r="B1074" s="1554"/>
      <c r="C1074" s="964">
        <v>9</v>
      </c>
      <c r="D1074" s="1604" t="s">
        <v>1519</v>
      </c>
      <c r="E1074" s="1604"/>
      <c r="F1074" s="1604"/>
      <c r="G1074" s="1604"/>
      <c r="H1074" s="1604"/>
      <c r="I1074" s="1604"/>
      <c r="J1074" s="1604"/>
      <c r="K1074" s="1604"/>
      <c r="L1074" s="1604"/>
      <c r="M1074" s="1604"/>
      <c r="N1074" s="1604"/>
      <c r="O1074" s="1604"/>
      <c r="P1074" s="1604"/>
      <c r="Q1074" s="1604"/>
      <c r="R1074" s="1604"/>
      <c r="S1074" s="1604"/>
      <c r="T1074" s="1604"/>
      <c r="U1074" s="1604"/>
      <c r="V1074" s="1604"/>
      <c r="W1074" s="1604"/>
      <c r="X1074" s="1604"/>
      <c r="Y1074" s="1604"/>
      <c r="Z1074" s="1604"/>
      <c r="AA1074" s="1604"/>
      <c r="AB1074" s="1604"/>
      <c r="AC1074" s="1604"/>
      <c r="AD1074" s="1604"/>
      <c r="AE1074" s="1604"/>
      <c r="AF1074" s="1604"/>
      <c r="AG1074" s="1604"/>
      <c r="AH1074" s="1604"/>
      <c r="AI1074" s="1604"/>
      <c r="AJ1074" s="1604"/>
      <c r="AK1074" s="1604"/>
      <c r="AL1074" s="1604"/>
      <c r="AM1074" s="1604"/>
      <c r="AN1074" s="1604"/>
      <c r="AO1074" s="1604"/>
      <c r="AP1074" s="1604"/>
    </row>
    <row r="1075" spans="1:97" ht="15" customHeight="1">
      <c r="A1075" s="44"/>
      <c r="B1075" s="32"/>
      <c r="C1075" s="964"/>
      <c r="D1075" s="1604"/>
      <c r="E1075" s="1604"/>
      <c r="F1075" s="1604"/>
      <c r="G1075" s="1604"/>
      <c r="H1075" s="1604"/>
      <c r="I1075" s="1604"/>
      <c r="J1075" s="1604"/>
      <c r="K1075" s="1604"/>
      <c r="L1075" s="1604"/>
      <c r="M1075" s="1604"/>
      <c r="N1075" s="1604"/>
      <c r="O1075" s="1604"/>
      <c r="P1075" s="1604"/>
      <c r="Q1075" s="1604"/>
      <c r="R1075" s="1604"/>
      <c r="S1075" s="1604"/>
      <c r="T1075" s="1604"/>
      <c r="U1075" s="1604"/>
      <c r="V1075" s="1604"/>
      <c r="W1075" s="1604"/>
      <c r="X1075" s="1604"/>
      <c r="Y1075" s="1604"/>
      <c r="Z1075" s="1604"/>
      <c r="AA1075" s="1604"/>
      <c r="AB1075" s="1604"/>
      <c r="AC1075" s="1604"/>
      <c r="AD1075" s="1604"/>
      <c r="AE1075" s="1604"/>
      <c r="AF1075" s="1604"/>
      <c r="AG1075" s="1604"/>
      <c r="AH1075" s="1604"/>
      <c r="AI1075" s="1604"/>
      <c r="AJ1075" s="1604"/>
      <c r="AK1075" s="1604"/>
      <c r="AL1075" s="1604"/>
      <c r="AM1075" s="1604"/>
      <c r="AN1075" s="1604"/>
      <c r="AO1075" s="1604"/>
      <c r="AP1075" s="1604"/>
    </row>
    <row r="1076" spans="1:97" ht="9.75" customHeight="1">
      <c r="D1076" s="1604"/>
      <c r="E1076" s="1604"/>
      <c r="F1076" s="1604"/>
      <c r="G1076" s="1604"/>
      <c r="H1076" s="1604"/>
      <c r="I1076" s="1604"/>
      <c r="J1076" s="1604"/>
      <c r="K1076" s="1604"/>
      <c r="L1076" s="1604"/>
      <c r="M1076" s="1604"/>
      <c r="N1076" s="1604"/>
      <c r="O1076" s="1604"/>
      <c r="P1076" s="1604"/>
      <c r="Q1076" s="1604"/>
      <c r="R1076" s="1604"/>
      <c r="S1076" s="1604"/>
      <c r="T1076" s="1604"/>
      <c r="U1076" s="1604"/>
      <c r="V1076" s="1604"/>
      <c r="W1076" s="1604"/>
      <c r="X1076" s="1604"/>
      <c r="Y1076" s="1604"/>
      <c r="Z1076" s="1604"/>
      <c r="AA1076" s="1604"/>
      <c r="AB1076" s="1604"/>
      <c r="AC1076" s="1604"/>
      <c r="AD1076" s="1604"/>
      <c r="AE1076" s="1604"/>
      <c r="AF1076" s="1604"/>
      <c r="AG1076" s="1604"/>
      <c r="AH1076" s="1604"/>
      <c r="AI1076" s="1604"/>
      <c r="AJ1076" s="1604"/>
      <c r="AK1076" s="1604"/>
      <c r="AL1076" s="1604"/>
      <c r="AM1076" s="1604"/>
      <c r="AN1076" s="1604"/>
      <c r="AO1076" s="1604"/>
      <c r="AP1076" s="1604"/>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54" t="s">
        <v>124</v>
      </c>
      <c r="B1078" s="1554"/>
      <c r="C1078" s="964">
        <v>10</v>
      </c>
      <c r="D1078" s="980" t="s">
        <v>2005</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54" t="s">
        <v>124</v>
      </c>
      <c r="B1082" s="1554"/>
      <c r="C1082" s="964">
        <v>11</v>
      </c>
      <c r="D1082" s="977" t="s">
        <v>2313</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1518</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N633:BR633"/>
    <mergeCell ref="BS633:BW633"/>
    <mergeCell ref="AM736:AO736"/>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E631:BF631"/>
    <mergeCell ref="BG631:BH631"/>
    <mergeCell ref="BI631:BJ631"/>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B735:F735"/>
    <mergeCell ref="G735:J735"/>
    <mergeCell ref="K735:N735"/>
    <mergeCell ref="O735:S735"/>
    <mergeCell ref="T735:X735"/>
    <mergeCell ref="Y735:AB735"/>
    <mergeCell ref="AC735:AG735"/>
    <mergeCell ref="AH735:AL735"/>
    <mergeCell ref="AM735:AO735"/>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A321:AK321"/>
    <mergeCell ref="G722:J722"/>
    <mergeCell ref="G714:J714"/>
    <mergeCell ref="T714:X714"/>
    <mergeCell ref="Y714:AB714"/>
    <mergeCell ref="AC714:AG714"/>
    <mergeCell ref="B720:F720"/>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AG380:AH380"/>
    <mergeCell ref="AA339:AK339"/>
    <mergeCell ref="H335:R335"/>
    <mergeCell ref="H338:R338"/>
    <mergeCell ref="E369:AH370"/>
    <mergeCell ref="AC372:AF372"/>
    <mergeCell ref="Q392:U392"/>
    <mergeCell ref="N373:Q373"/>
    <mergeCell ref="AA335:AK335"/>
    <mergeCell ref="B520:H522"/>
    <mergeCell ref="AH525:AK525"/>
    <mergeCell ref="AH512:AK512"/>
    <mergeCell ref="AC504:AF504"/>
    <mergeCell ref="M558:P558"/>
    <mergeCell ref="C559:L559"/>
    <mergeCell ref="T633:V633"/>
    <mergeCell ref="M632:P632"/>
    <mergeCell ref="AA608:AK608"/>
    <mergeCell ref="G613:R613"/>
    <mergeCell ref="G614:R614"/>
    <mergeCell ref="C564:L564"/>
    <mergeCell ref="M564:P564"/>
    <mergeCell ref="AG392:AJ392"/>
    <mergeCell ref="AG395:AJ395"/>
    <mergeCell ref="Z435:AA435"/>
    <mergeCell ref="B523:H545"/>
    <mergeCell ref="AG442:AJ442"/>
    <mergeCell ref="L512:AB512"/>
    <mergeCell ref="G477:V477"/>
    <mergeCell ref="J386:U386"/>
    <mergeCell ref="AG378:AH378"/>
    <mergeCell ref="G572:R572"/>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AH524:AK524"/>
    <mergeCell ref="AC514:AF514"/>
    <mergeCell ref="AH514:AK514"/>
    <mergeCell ref="AH519:AK519"/>
    <mergeCell ref="AH520:AK520"/>
    <mergeCell ref="AC517:AF517"/>
    <mergeCell ref="AH499:AK499"/>
    <mergeCell ref="AC509:AF509"/>
    <mergeCell ref="AC523:AF523"/>
    <mergeCell ref="AC524:AF524"/>
    <mergeCell ref="AH522:AK522"/>
    <mergeCell ref="O523:AA523"/>
    <mergeCell ref="AH523:AK523"/>
    <mergeCell ref="K404:AJ404"/>
    <mergeCell ref="AG402:AJ402"/>
    <mergeCell ref="K405:AJ405"/>
    <mergeCell ref="S406:AJ406"/>
    <mergeCell ref="AG455:AJ455"/>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A332:AK332"/>
    <mergeCell ref="AA318:AF318"/>
    <mergeCell ref="N374:AF375"/>
    <mergeCell ref="Q390:U390"/>
    <mergeCell ref="H326:M326"/>
    <mergeCell ref="H339:R339"/>
    <mergeCell ref="AA329:AK329"/>
    <mergeCell ref="H331:R331"/>
    <mergeCell ref="H341:M341"/>
    <mergeCell ref="H330:R330"/>
    <mergeCell ref="AC386:AJ386"/>
    <mergeCell ref="V383:W383"/>
    <mergeCell ref="AA334:AF334"/>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W842:AC842"/>
    <mergeCell ref="W841:AC84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C816:H816"/>
    <mergeCell ref="G724:J724"/>
    <mergeCell ref="Z805:AE805"/>
    <mergeCell ref="M814:P814"/>
    <mergeCell ref="U813:X813"/>
    <mergeCell ref="AC813:AF813"/>
    <mergeCell ref="Y813:AB813"/>
    <mergeCell ref="B725:F725"/>
    <mergeCell ref="O737:S737"/>
    <mergeCell ref="O741:R741"/>
    <mergeCell ref="B728:F728"/>
    <mergeCell ref="B727:F727"/>
    <mergeCell ref="O727:S727"/>
    <mergeCell ref="AM554:AS556"/>
    <mergeCell ref="B716:F716"/>
    <mergeCell ref="B712:F712"/>
    <mergeCell ref="H616:R616"/>
    <mergeCell ref="B718:F718"/>
    <mergeCell ref="G662:R662"/>
    <mergeCell ref="Z612:AK612"/>
    <mergeCell ref="B717:F717"/>
    <mergeCell ref="T705:X705"/>
    <mergeCell ref="T709:X709"/>
    <mergeCell ref="K714:N714"/>
    <mergeCell ref="M626:P628"/>
    <mergeCell ref="M629:P629"/>
    <mergeCell ref="M630:P630"/>
    <mergeCell ref="AK630:AN630"/>
    <mergeCell ref="AK626:AN628"/>
    <mergeCell ref="M634:P634"/>
    <mergeCell ref="M635:P635"/>
    <mergeCell ref="W635:Y635"/>
    <mergeCell ref="M554:P556"/>
    <mergeCell ref="C635:L635"/>
    <mergeCell ref="G588:R588"/>
    <mergeCell ref="H592:R592"/>
    <mergeCell ref="AO631:AS631"/>
    <mergeCell ref="AO632:AS632"/>
    <mergeCell ref="Q631:S631"/>
    <mergeCell ref="Q632:S632"/>
    <mergeCell ref="Z637:AB637"/>
    <mergeCell ref="Z638:AB638"/>
    <mergeCell ref="T635:V635"/>
    <mergeCell ref="T640:V640"/>
    <mergeCell ref="W636:Y636"/>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T733:X733"/>
    <mergeCell ref="Y733:AB733"/>
    <mergeCell ref="AC733:AG733"/>
    <mergeCell ref="AH733:AL733"/>
    <mergeCell ref="B736:F736"/>
    <mergeCell ref="G736:J736"/>
    <mergeCell ref="K736:N736"/>
    <mergeCell ref="O736:S736"/>
    <mergeCell ref="T736:X736"/>
    <mergeCell ref="Y736:AB736"/>
    <mergeCell ref="AC736:AG736"/>
    <mergeCell ref="AH736:AL736"/>
    <mergeCell ref="J756:N759"/>
    <mergeCell ref="U909:Z909"/>
    <mergeCell ref="B719:F719"/>
    <mergeCell ref="B721:F721"/>
    <mergeCell ref="AG741:AJ741"/>
    <mergeCell ref="B724:F724"/>
    <mergeCell ref="B713:F713"/>
    <mergeCell ref="G719:J719"/>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Y734:AB734"/>
    <mergeCell ref="O775:S775"/>
    <mergeCell ref="AC734:AG734"/>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P317:R317"/>
    <mergeCell ref="O776:S776"/>
    <mergeCell ref="AC770:AG773"/>
    <mergeCell ref="J778:N778"/>
    <mergeCell ref="J761:N761"/>
    <mergeCell ref="Y366:Z366"/>
    <mergeCell ref="AI333:AK333"/>
    <mergeCell ref="AI341:AK341"/>
    <mergeCell ref="AA342:AF342"/>
    <mergeCell ref="AH516:AK516"/>
    <mergeCell ref="AH521:AK521"/>
    <mergeCell ref="AH517:AK517"/>
    <mergeCell ref="AH528:AK528"/>
    <mergeCell ref="AH529:AK529"/>
    <mergeCell ref="AC533:AF533"/>
    <mergeCell ref="AH534:AK534"/>
    <mergeCell ref="AH536:AK536"/>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H729:AL729"/>
    <mergeCell ref="O762:S762"/>
    <mergeCell ref="AH734:AL734"/>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55:T255"/>
    <mergeCell ref="AA301:AF301"/>
    <mergeCell ref="AA307:AK307"/>
    <mergeCell ref="AA300:AK300"/>
    <mergeCell ref="H297:R297"/>
    <mergeCell ref="H302:M302"/>
    <mergeCell ref="M263:T263"/>
    <mergeCell ref="D272:H272"/>
    <mergeCell ref="H305:R305"/>
    <mergeCell ref="AA313:AK313"/>
    <mergeCell ref="H311:R311"/>
    <mergeCell ref="AI301:AK301"/>
    <mergeCell ref="L277:AD277"/>
    <mergeCell ref="M257:R257"/>
    <mergeCell ref="AA294:AF294"/>
    <mergeCell ref="AA310:AF310"/>
    <mergeCell ref="L276:AJ276"/>
    <mergeCell ref="V278:W278"/>
    <mergeCell ref="AC255:AE255"/>
    <mergeCell ref="M256:AE256"/>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0:AE250"/>
    <mergeCell ref="T197:U197"/>
    <mergeCell ref="Z239:AE239"/>
    <mergeCell ref="J178:K178"/>
    <mergeCell ref="M253:AE253"/>
    <mergeCell ref="M251:T251"/>
    <mergeCell ref="D208:M208"/>
    <mergeCell ref="M245:AE245"/>
    <mergeCell ref="W247:X247"/>
    <mergeCell ref="M237:T237"/>
    <mergeCell ref="O226:P226"/>
    <mergeCell ref="O227:P227"/>
    <mergeCell ref="U239:W239"/>
    <mergeCell ref="R199:AB199"/>
    <mergeCell ref="U249:W249"/>
    <mergeCell ref="M249:R249"/>
    <mergeCell ref="AA251:AK251"/>
    <mergeCell ref="AK196:AL196"/>
    <mergeCell ref="D223:AI223"/>
    <mergeCell ref="T194:U194"/>
    <mergeCell ref="M246:AE246"/>
    <mergeCell ref="AF253:AK253"/>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U175:V175"/>
    <mergeCell ref="U176:V176"/>
    <mergeCell ref="I190:N190"/>
    <mergeCell ref="T190:AE190"/>
    <mergeCell ref="Y211:Z211"/>
    <mergeCell ref="AA193:AC193"/>
    <mergeCell ref="O164:AH164"/>
    <mergeCell ref="O163:T163"/>
    <mergeCell ref="E187:AE188"/>
    <mergeCell ref="V215:W215"/>
    <mergeCell ref="M242:AE242"/>
    <mergeCell ref="W198:X198"/>
    <mergeCell ref="AC219:AM219"/>
    <mergeCell ref="I184:AE184"/>
    <mergeCell ref="T193:U193"/>
    <mergeCell ref="M178:N178"/>
    <mergeCell ref="AD178:AH178"/>
    <mergeCell ref="AF261:AK261"/>
    <mergeCell ref="M254:AE254"/>
    <mergeCell ref="M264:AE264"/>
    <mergeCell ref="W255:X255"/>
    <mergeCell ref="Y180:Z180"/>
    <mergeCell ref="C558:L558"/>
    <mergeCell ref="G648:R648"/>
    <mergeCell ref="V378:W378"/>
    <mergeCell ref="AH728:AL728"/>
    <mergeCell ref="AM728:AO728"/>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A309:AF309"/>
    <mergeCell ref="Z265:AE265"/>
    <mergeCell ref="AA297:AK297"/>
    <mergeCell ref="M261:AE261"/>
    <mergeCell ref="AA913:AF913"/>
    <mergeCell ref="F909:T909"/>
    <mergeCell ref="B714:F714"/>
    <mergeCell ref="G737:J737"/>
    <mergeCell ref="G723:J723"/>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W637:Y637"/>
    <mergeCell ref="H658:R658"/>
    <mergeCell ref="B554:L556"/>
    <mergeCell ref="B643:AN643"/>
    <mergeCell ref="C636:L636"/>
    <mergeCell ref="C637:L637"/>
    <mergeCell ref="AO640:AS640"/>
    <mergeCell ref="T639:V639"/>
    <mergeCell ref="B722:F722"/>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W858:AC858"/>
    <mergeCell ref="F912:T912"/>
    <mergeCell ref="U912:Z912"/>
    <mergeCell ref="AA912:AF912"/>
    <mergeCell ref="F913:T913"/>
    <mergeCell ref="U913:Z913"/>
    <mergeCell ref="AB971:AI971"/>
    <mergeCell ref="AJ971:AQ971"/>
    <mergeCell ref="AJ975:AQ975"/>
    <mergeCell ref="B976:AE976"/>
    <mergeCell ref="D972:Q972"/>
    <mergeCell ref="R972:AA972"/>
    <mergeCell ref="C739:AH740"/>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AK634:AN634"/>
    <mergeCell ref="AO638:AS638"/>
    <mergeCell ref="AK633:AN633"/>
    <mergeCell ref="AC633:AE633"/>
    <mergeCell ref="AF633:AJ633"/>
    <mergeCell ref="Z631:AB631"/>
    <mergeCell ref="Z632:AB632"/>
    <mergeCell ref="AO635:AS635"/>
    <mergeCell ref="Q634:S634"/>
    <mergeCell ref="Q635:S635"/>
    <mergeCell ref="AA956:AG956"/>
    <mergeCell ref="D984:AE984"/>
    <mergeCell ref="AB969:AI969"/>
    <mergeCell ref="AJ969:AQ969"/>
    <mergeCell ref="D970:Q970"/>
    <mergeCell ref="AB968:AI968"/>
    <mergeCell ref="L945:S945"/>
    <mergeCell ref="M952:S952"/>
    <mergeCell ref="AA957:AG957"/>
    <mergeCell ref="W958:AG958"/>
    <mergeCell ref="AA959:AG959"/>
    <mergeCell ref="D978:AE981"/>
    <mergeCell ref="D982:AE982"/>
    <mergeCell ref="D973:Q973"/>
    <mergeCell ref="R973:AA973"/>
    <mergeCell ref="AB973:AI973"/>
    <mergeCell ref="AJ973:AQ973"/>
    <mergeCell ref="R970:AA970"/>
    <mergeCell ref="AB970:AI970"/>
    <mergeCell ref="AJ970:AQ970"/>
    <mergeCell ref="D971:Q971"/>
    <mergeCell ref="R971:AA971"/>
    <mergeCell ref="M637:P637"/>
    <mergeCell ref="M631:P631"/>
    <mergeCell ref="T631:V631"/>
    <mergeCell ref="T632:V632"/>
    <mergeCell ref="G587:R587"/>
    <mergeCell ref="N609:O609"/>
    <mergeCell ref="G579:R579"/>
    <mergeCell ref="Z566:AD566"/>
    <mergeCell ref="AE566:AH566"/>
    <mergeCell ref="H584:R584"/>
    <mergeCell ref="G581:R581"/>
    <mergeCell ref="Q567:S567"/>
    <mergeCell ref="T636:V636"/>
    <mergeCell ref="T637:V637"/>
    <mergeCell ref="T638:V638"/>
    <mergeCell ref="Z633:AB633"/>
    <mergeCell ref="Z634:AB634"/>
    <mergeCell ref="Z635:AB635"/>
    <mergeCell ref="AC634:AE634"/>
    <mergeCell ref="AF634:AJ634"/>
    <mergeCell ref="Q633:S633"/>
    <mergeCell ref="Z574:AK574"/>
    <mergeCell ref="AI615:AK615"/>
    <mergeCell ref="Z607:AE607"/>
    <mergeCell ref="P575:R575"/>
    <mergeCell ref="Z581:AK581"/>
    <mergeCell ref="Z595:AK595"/>
    <mergeCell ref="G612:R612"/>
    <mergeCell ref="Z596:AK596"/>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G571:R571"/>
    <mergeCell ref="P583:R583"/>
    <mergeCell ref="G575:L575"/>
    <mergeCell ref="G597:R597"/>
    <mergeCell ref="G595:R595"/>
    <mergeCell ref="G607:L607"/>
    <mergeCell ref="AF632:AJ632"/>
    <mergeCell ref="AC626:AE628"/>
    <mergeCell ref="AF626:AJ628"/>
    <mergeCell ref="AC630:AE630"/>
    <mergeCell ref="AF630:AJ630"/>
    <mergeCell ref="W630:Y630"/>
    <mergeCell ref="W629:Y629"/>
    <mergeCell ref="Z615:AE615"/>
    <mergeCell ref="N577:O577"/>
    <mergeCell ref="Z590:AK590"/>
    <mergeCell ref="G589:R589"/>
    <mergeCell ref="G611:R611"/>
    <mergeCell ref="Z572:AK572"/>
    <mergeCell ref="B626:L628"/>
    <mergeCell ref="G573:R573"/>
    <mergeCell ref="H576:R576"/>
    <mergeCell ref="G574:R574"/>
    <mergeCell ref="G580:R580"/>
    <mergeCell ref="O157:AH157"/>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G603:R603"/>
    <mergeCell ref="AA584:AK584"/>
    <mergeCell ref="N617:O617"/>
    <mergeCell ref="Q629:S629"/>
    <mergeCell ref="Q630:S630"/>
    <mergeCell ref="N585:O585"/>
    <mergeCell ref="Z587:AK587"/>
    <mergeCell ref="P599:R599"/>
    <mergeCell ref="G604:R604"/>
    <mergeCell ref="P607:R607"/>
    <mergeCell ref="G615:L615"/>
    <mergeCell ref="H608:R608"/>
    <mergeCell ref="AO626:AS628"/>
    <mergeCell ref="T629:V629"/>
    <mergeCell ref="T630:V630"/>
    <mergeCell ref="G599:L599"/>
    <mergeCell ref="AG585:AH585"/>
    <mergeCell ref="AA322:AK322"/>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O33:P33"/>
    <mergeCell ref="O159:AH159"/>
    <mergeCell ref="O158:AH158"/>
    <mergeCell ref="T566:V566"/>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292:AK292"/>
    <mergeCell ref="M235:AK235"/>
    <mergeCell ref="P204:U204"/>
    <mergeCell ref="T567:V567"/>
    <mergeCell ref="W567:Y567"/>
    <mergeCell ref="Z567:AD567"/>
    <mergeCell ref="AE567:AH567"/>
    <mergeCell ref="BE602:BF602"/>
    <mergeCell ref="BG602:BH602"/>
    <mergeCell ref="BE601:BF601"/>
    <mergeCell ref="G606:R606"/>
    <mergeCell ref="G605:R605"/>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M560:P560"/>
    <mergeCell ref="AI564:AL564"/>
    <mergeCell ref="Z563:AD563"/>
    <mergeCell ref="AI558:AL558"/>
    <mergeCell ref="C561:L561"/>
    <mergeCell ref="C562:L562"/>
    <mergeCell ref="M562:P562"/>
    <mergeCell ref="C563:L563"/>
    <mergeCell ref="M563:P563"/>
    <mergeCell ref="W566:Y566"/>
    <mergeCell ref="C557:L557"/>
    <mergeCell ref="A619:AT620"/>
    <mergeCell ref="BE620:BF620"/>
    <mergeCell ref="BI613:BJ613"/>
    <mergeCell ref="BK613:BL613"/>
    <mergeCell ref="BK608:BL608"/>
    <mergeCell ref="BI607:BJ607"/>
    <mergeCell ref="BI609:BJ609"/>
    <mergeCell ref="BI620:BJ620"/>
    <mergeCell ref="BG613:BH613"/>
    <mergeCell ref="BK611:BL611"/>
    <mergeCell ref="BK605:BL605"/>
    <mergeCell ref="BK610:BL610"/>
    <mergeCell ref="BE613:BF613"/>
    <mergeCell ref="BE617:BF617"/>
    <mergeCell ref="Z614:AK614"/>
    <mergeCell ref="Z603:AK603"/>
    <mergeCell ref="BI612:BJ612"/>
    <mergeCell ref="BI617:BJ617"/>
    <mergeCell ref="BK612:BL612"/>
    <mergeCell ref="Z613:AK613"/>
    <mergeCell ref="BG607:BH607"/>
    <mergeCell ref="BI614:BJ614"/>
    <mergeCell ref="BG614:BH614"/>
    <mergeCell ref="AH533:AK533"/>
    <mergeCell ref="O532:AA532"/>
    <mergeCell ref="Q562:S562"/>
    <mergeCell ref="T562:V562"/>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Q557:S557"/>
    <mergeCell ref="AE554:AH556"/>
    <mergeCell ref="AI554:AL556"/>
    <mergeCell ref="Q554:S556"/>
    <mergeCell ref="M557:P557"/>
    <mergeCell ref="AG577:AH577"/>
    <mergeCell ref="M559:P559"/>
    <mergeCell ref="BI610:BJ610"/>
    <mergeCell ref="BI611:BJ611"/>
    <mergeCell ref="BG603:BH603"/>
    <mergeCell ref="Z611:AK611"/>
    <mergeCell ref="Z606:AK606"/>
    <mergeCell ref="BG605:BH605"/>
    <mergeCell ref="AG609:AH609"/>
    <mergeCell ref="BI608:BJ608"/>
    <mergeCell ref="BG612:BH612"/>
    <mergeCell ref="BG600:BH600"/>
    <mergeCell ref="BI600:BJ600"/>
    <mergeCell ref="BI602:BJ602"/>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K600:BL600"/>
    <mergeCell ref="BE600:BF600"/>
    <mergeCell ref="BE614:BF614"/>
    <mergeCell ref="BK619:BL619"/>
    <mergeCell ref="BG609:BH609"/>
    <mergeCell ref="BE608:BF608"/>
    <mergeCell ref="BE607:BF607"/>
    <mergeCell ref="BK631:BL631"/>
    <mergeCell ref="BE632:BF632"/>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E634:BF634"/>
    <mergeCell ref="BG619:BH619"/>
    <mergeCell ref="BI605:BJ605"/>
    <mergeCell ref="BK621:BL621"/>
    <mergeCell ref="BG623:BH623"/>
    <mergeCell ref="BI619:BJ619"/>
    <mergeCell ref="BK620:BL62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G712:J712"/>
    <mergeCell ref="C748:AM755"/>
    <mergeCell ref="G727:J727"/>
    <mergeCell ref="K727:N727"/>
    <mergeCell ref="T708:X708"/>
    <mergeCell ref="Z795:AE795"/>
    <mergeCell ref="J780:N780"/>
    <mergeCell ref="X776:AB776"/>
    <mergeCell ref="AC776:AG776"/>
    <mergeCell ref="T777:W777"/>
    <mergeCell ref="X777:AB777"/>
    <mergeCell ref="AC777:AG777"/>
    <mergeCell ref="AH713:AL713"/>
    <mergeCell ref="AM713:AO713"/>
    <mergeCell ref="AC709:AG709"/>
    <mergeCell ref="Y730:AB730"/>
    <mergeCell ref="K718:N718"/>
    <mergeCell ref="O718:S718"/>
    <mergeCell ref="T718:X718"/>
    <mergeCell ref="Y718:AB718"/>
    <mergeCell ref="AC718:AG718"/>
    <mergeCell ref="AH718:AL718"/>
    <mergeCell ref="T727:X727"/>
    <mergeCell ref="Y727:AB727"/>
    <mergeCell ref="AC727:AG727"/>
    <mergeCell ref="AH727:AL727"/>
    <mergeCell ref="AM727:AO727"/>
    <mergeCell ref="G728:J728"/>
    <mergeCell ref="K728:N728"/>
    <mergeCell ref="AH731:AL731"/>
    <mergeCell ref="T734:X734"/>
    <mergeCell ref="B738:F738"/>
    <mergeCell ref="D994:AE994"/>
    <mergeCell ref="AG994:AH994"/>
    <mergeCell ref="AJ994:AQ995"/>
    <mergeCell ref="AJ977:AQ983"/>
    <mergeCell ref="D983:AE983"/>
    <mergeCell ref="AE941:AK941"/>
    <mergeCell ref="AC728:AG728"/>
    <mergeCell ref="AM714:AO714"/>
    <mergeCell ref="T711:X711"/>
    <mergeCell ref="Y711:AB711"/>
    <mergeCell ref="AC711:AG711"/>
    <mergeCell ref="T707:X707"/>
    <mergeCell ref="B726:F726"/>
    <mergeCell ref="Z664:AK664"/>
    <mergeCell ref="G664:R664"/>
    <mergeCell ref="H666:R666"/>
    <mergeCell ref="AM708:AO708"/>
    <mergeCell ref="AM703:AO703"/>
    <mergeCell ref="Z672:AK672"/>
    <mergeCell ref="N675:O675"/>
    <mergeCell ref="Z670:AK670"/>
    <mergeCell ref="G671:R671"/>
    <mergeCell ref="T704:X704"/>
    <mergeCell ref="AG691:AH691"/>
    <mergeCell ref="G688:R688"/>
    <mergeCell ref="G678:R678"/>
    <mergeCell ref="H674:R674"/>
    <mergeCell ref="Z685:AK685"/>
    <mergeCell ref="P665:R665"/>
    <mergeCell ref="AA674:AK674"/>
    <mergeCell ref="P681:R681"/>
    <mergeCell ref="N683:O683"/>
    <mergeCell ref="O728:S728"/>
    <mergeCell ref="T728:X728"/>
    <mergeCell ref="Y728:AB728"/>
    <mergeCell ref="G717:J717"/>
    <mergeCell ref="G716:J716"/>
    <mergeCell ref="AC706:AG706"/>
    <mergeCell ref="G725:J725"/>
    <mergeCell ref="T724:X724"/>
    <mergeCell ref="AM699:AO702"/>
    <mergeCell ref="AM704:AO704"/>
    <mergeCell ref="AM712:AO712"/>
    <mergeCell ref="AM705:AO705"/>
    <mergeCell ref="T706:X706"/>
    <mergeCell ref="T699:X702"/>
    <mergeCell ref="Y699:AB702"/>
    <mergeCell ref="AC699:AG702"/>
    <mergeCell ref="AH699:AL702"/>
    <mergeCell ref="K713:N713"/>
    <mergeCell ref="O713:S713"/>
    <mergeCell ref="T713:X713"/>
    <mergeCell ref="AC715:AG715"/>
    <mergeCell ref="AH714:AL714"/>
    <mergeCell ref="O714:S714"/>
    <mergeCell ref="AM716:AO716"/>
    <mergeCell ref="AM717:AO717"/>
    <mergeCell ref="AC710:AG710"/>
    <mergeCell ref="AM710:AO710"/>
    <mergeCell ref="AM711:AO711"/>
    <mergeCell ref="K712:N712"/>
    <mergeCell ref="O712:S712"/>
    <mergeCell ref="T712:X712"/>
    <mergeCell ref="Y712:AB712"/>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AC639:AE639"/>
    <mergeCell ref="AF639:AJ639"/>
    <mergeCell ref="AK639:AN639"/>
    <mergeCell ref="B641:AN641"/>
    <mergeCell ref="H650:R650"/>
    <mergeCell ref="G655:R655"/>
    <mergeCell ref="Z655:AK655"/>
    <mergeCell ref="AK636:AN636"/>
    <mergeCell ref="AA666:AK666"/>
    <mergeCell ref="B642:AN642"/>
    <mergeCell ref="G670:R670"/>
    <mergeCell ref="C638:L638"/>
    <mergeCell ref="M636:P636"/>
    <mergeCell ref="AO642:AS642"/>
    <mergeCell ref="G661:R661"/>
    <mergeCell ref="T703:X703"/>
    <mergeCell ref="P657:R657"/>
    <mergeCell ref="N659:O659"/>
    <mergeCell ref="AA658:AK658"/>
    <mergeCell ref="Z657:AE657"/>
    <mergeCell ref="AI657:AK657"/>
    <mergeCell ref="AI673:AK673"/>
    <mergeCell ref="G649:L649"/>
    <mergeCell ref="Z636:AB636"/>
    <mergeCell ref="G673:L673"/>
    <mergeCell ref="Z687:AK687"/>
    <mergeCell ref="G647:R647"/>
    <mergeCell ref="AO639:AS639"/>
    <mergeCell ref="AC640:AE640"/>
    <mergeCell ref="AF640:AJ640"/>
    <mergeCell ref="AI649:AK649"/>
    <mergeCell ref="Z677:AK677"/>
    <mergeCell ref="G669:R669"/>
    <mergeCell ref="K699:N702"/>
    <mergeCell ref="O699:S702"/>
    <mergeCell ref="AO643:AS643"/>
    <mergeCell ref="G656:R656"/>
    <mergeCell ref="G681:L681"/>
    <mergeCell ref="N651:O651"/>
    <mergeCell ref="Z678:AK678"/>
    <mergeCell ref="G657:L657"/>
    <mergeCell ref="G654:R654"/>
    <mergeCell ref="G672:R672"/>
    <mergeCell ref="H690:R690"/>
    <mergeCell ref="N691:O691"/>
    <mergeCell ref="AH527:AK527"/>
    <mergeCell ref="AC537:AF537"/>
    <mergeCell ref="AC538:AF538"/>
    <mergeCell ref="AC534:AF534"/>
    <mergeCell ref="Z559:AD559"/>
    <mergeCell ref="AH538:AK538"/>
    <mergeCell ref="AM562:AS562"/>
    <mergeCell ref="Q559:S559"/>
    <mergeCell ref="AM569:AS569"/>
    <mergeCell ref="Q560:S560"/>
    <mergeCell ref="AC527:AF527"/>
    <mergeCell ref="AM560:AS560"/>
    <mergeCell ref="Q561:S561"/>
    <mergeCell ref="AF636:AJ636"/>
    <mergeCell ref="T561:V561"/>
    <mergeCell ref="W561:Y561"/>
    <mergeCell ref="Z646:AK646"/>
    <mergeCell ref="G645:R645"/>
    <mergeCell ref="Z645:AK645"/>
    <mergeCell ref="AM561:AS561"/>
    <mergeCell ref="T559:V559"/>
    <mergeCell ref="W559:Y559"/>
    <mergeCell ref="T554:V556"/>
    <mergeCell ref="AM564:AS564"/>
    <mergeCell ref="Q565:S565"/>
    <mergeCell ref="T565:V565"/>
    <mergeCell ref="W565:Y565"/>
    <mergeCell ref="Z565:AD565"/>
    <mergeCell ref="AE565:AH565"/>
    <mergeCell ref="AI565:AL565"/>
    <mergeCell ref="AM565:AS565"/>
    <mergeCell ref="W563:Y563"/>
    <mergeCell ref="AC521:AF521"/>
    <mergeCell ref="AH511:AK511"/>
    <mergeCell ref="AH510:AK510"/>
    <mergeCell ref="O529:AA529"/>
    <mergeCell ref="AC529:AF529"/>
    <mergeCell ref="AC512:AF512"/>
    <mergeCell ref="B517:H519"/>
    <mergeCell ref="AC510:AF510"/>
    <mergeCell ref="B505:H506"/>
    <mergeCell ref="B507:H516"/>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W472:Y472"/>
    <mergeCell ref="Q489:AK489"/>
    <mergeCell ref="D451:AF451"/>
    <mergeCell ref="AC456:AF456"/>
    <mergeCell ref="AH504:AK504"/>
    <mergeCell ref="AH509:AK509"/>
    <mergeCell ref="D454:AJ454"/>
    <mergeCell ref="W474:Y474"/>
    <mergeCell ref="W470:Y470"/>
    <mergeCell ref="D469:V469"/>
    <mergeCell ref="M499:P499"/>
    <mergeCell ref="Z561:AD561"/>
    <mergeCell ref="AE561:AH561"/>
    <mergeCell ref="AI561:AL561"/>
    <mergeCell ref="Z554:AD556"/>
    <mergeCell ref="W554:Y556"/>
    <mergeCell ref="O535:AA535"/>
    <mergeCell ref="AC518:AF518"/>
    <mergeCell ref="AC522:AF522"/>
    <mergeCell ref="AC536:AF536"/>
    <mergeCell ref="AC540:AF540"/>
    <mergeCell ref="AH535:AK535"/>
    <mergeCell ref="AH537:AK537"/>
    <mergeCell ref="AC525:AF525"/>
    <mergeCell ref="AC531:AF531"/>
    <mergeCell ref="AH531:AK531"/>
    <mergeCell ref="AC528:AF528"/>
    <mergeCell ref="Q495:AK495"/>
    <mergeCell ref="Q498:AK498"/>
    <mergeCell ref="AG456:AJ456"/>
    <mergeCell ref="Q491:AK491"/>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AG449:AJ449"/>
    <mergeCell ref="D474:V474"/>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R413:S413"/>
    <mergeCell ref="AF419:AH419"/>
    <mergeCell ref="Q493:R494"/>
    <mergeCell ref="S493:AK494"/>
    <mergeCell ref="S378:T378"/>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I398:AJ398"/>
    <mergeCell ref="T399:AJ399"/>
    <mergeCell ref="T400:AJ400"/>
    <mergeCell ref="AG439:AJ439"/>
    <mergeCell ref="Q490:AK490"/>
    <mergeCell ref="AG447:AJ447"/>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BK601:BL601"/>
    <mergeCell ref="BG606:BH606"/>
    <mergeCell ref="Z604:AK604"/>
    <mergeCell ref="BE605:BF605"/>
    <mergeCell ref="G583:L583"/>
    <mergeCell ref="Z583:AE583"/>
    <mergeCell ref="BE606:BF606"/>
    <mergeCell ref="Z579:AK579"/>
    <mergeCell ref="Z575:AE575"/>
    <mergeCell ref="AI575:AK575"/>
    <mergeCell ref="Z589:AK589"/>
    <mergeCell ref="T568:V568"/>
    <mergeCell ref="W568:Y568"/>
    <mergeCell ref="Z568:AD568"/>
    <mergeCell ref="Z562:AD562"/>
    <mergeCell ref="T564:V564"/>
    <mergeCell ref="AM568:AS568"/>
    <mergeCell ref="DR603:DV603"/>
    <mergeCell ref="DR604:DV604"/>
    <mergeCell ref="DR605:DV605"/>
    <mergeCell ref="DR606:DV606"/>
    <mergeCell ref="Z573:AK573"/>
    <mergeCell ref="AI567:AL567"/>
    <mergeCell ref="AA576:AK576"/>
    <mergeCell ref="Z580:AK580"/>
    <mergeCell ref="B569:AL569"/>
    <mergeCell ref="AE563:AH563"/>
    <mergeCell ref="AI563:AL563"/>
    <mergeCell ref="AM563:AS563"/>
    <mergeCell ref="AM566:AS566"/>
    <mergeCell ref="AI566:AL566"/>
    <mergeCell ref="AM567:AS567"/>
    <mergeCell ref="CC599:CG599"/>
    <mergeCell ref="CC604:CG604"/>
    <mergeCell ref="BS605:BW605"/>
    <mergeCell ref="BX605:CB605"/>
    <mergeCell ref="CC605:CG605"/>
    <mergeCell ref="BE604:BF604"/>
    <mergeCell ref="BI603:BJ603"/>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BS606:BW606"/>
    <mergeCell ref="BX606:CB606"/>
    <mergeCell ref="CC606:CG606"/>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AH712:AL712"/>
    <mergeCell ref="AC712:AG712"/>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Z671:AK671"/>
    <mergeCell ref="CH651:CL651"/>
    <mergeCell ref="CM651:CQ651"/>
    <mergeCell ref="AA650:AK650"/>
    <mergeCell ref="AC705:AG705"/>
    <mergeCell ref="Z689:AE689"/>
    <mergeCell ref="AA682:AK682"/>
    <mergeCell ref="N667:O667"/>
    <mergeCell ref="G679:R679"/>
    <mergeCell ref="H682:R682"/>
    <mergeCell ref="A694:AT696"/>
    <mergeCell ref="G665:L665"/>
    <mergeCell ref="AC708:AG708"/>
    <mergeCell ref="AM709:AO709"/>
    <mergeCell ref="B699:F702"/>
    <mergeCell ref="Z688:AK688"/>
    <mergeCell ref="G686:R686"/>
    <mergeCell ref="G699:J702"/>
    <mergeCell ref="Z681:AE681"/>
    <mergeCell ref="G663:R663"/>
    <mergeCell ref="Z673:AE673"/>
    <mergeCell ref="B705:F705"/>
    <mergeCell ref="K703:N703"/>
    <mergeCell ref="O703:S703"/>
    <mergeCell ref="B706:F706"/>
    <mergeCell ref="G707:J707"/>
    <mergeCell ref="Z663:AK663"/>
    <mergeCell ref="AI665:AK665"/>
    <mergeCell ref="P673:R673"/>
    <mergeCell ref="Z686:AK686"/>
    <mergeCell ref="P689:R689"/>
    <mergeCell ref="Z679:AK679"/>
    <mergeCell ref="AG675:AH675"/>
    <mergeCell ref="AI681:AK681"/>
    <mergeCell ref="AC704:AG704"/>
    <mergeCell ref="G677:R677"/>
    <mergeCell ref="G687:R687"/>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G990:AH990"/>
    <mergeCell ref="AJ990:AQ993"/>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AC874:AH874"/>
    <mergeCell ref="AC819:AF819"/>
    <mergeCell ref="AC542:AF542"/>
    <mergeCell ref="AC544:AF544"/>
    <mergeCell ref="AC543:AF543"/>
    <mergeCell ref="AC545:AF545"/>
    <mergeCell ref="AC541:AF541"/>
    <mergeCell ref="AH542:AK542"/>
    <mergeCell ref="AH544:AK544"/>
    <mergeCell ref="AH543:AK543"/>
    <mergeCell ref="AH545:AK545"/>
    <mergeCell ref="AH541:AK541"/>
    <mergeCell ref="K711:N711"/>
    <mergeCell ref="O711:S711"/>
    <mergeCell ref="K710:N710"/>
    <mergeCell ref="O710:S710"/>
    <mergeCell ref="G703:J703"/>
    <mergeCell ref="K706:N706"/>
    <mergeCell ref="O706:S706"/>
    <mergeCell ref="AH709:AL709"/>
    <mergeCell ref="AH711:AL711"/>
    <mergeCell ref="AH710:AL710"/>
    <mergeCell ref="AH704:AL704"/>
    <mergeCell ref="AH705:AL705"/>
    <mergeCell ref="AH703:AL703"/>
    <mergeCell ref="AH707:AL707"/>
    <mergeCell ref="AH708:AL708"/>
    <mergeCell ref="AH706:AL706"/>
    <mergeCell ref="T710:X710"/>
    <mergeCell ref="AG651:AH651"/>
    <mergeCell ref="Z680:AK680"/>
    <mergeCell ref="AI689:AK689"/>
    <mergeCell ref="G680:R680"/>
    <mergeCell ref="G685:R685"/>
    <mergeCell ref="B711:F711"/>
    <mergeCell ref="G709:J709"/>
    <mergeCell ref="B707:F707"/>
    <mergeCell ref="B708:F708"/>
    <mergeCell ref="G711:J711"/>
    <mergeCell ref="O707:S707"/>
    <mergeCell ref="K705:N705"/>
    <mergeCell ref="O705:S705"/>
    <mergeCell ref="B703:F703"/>
    <mergeCell ref="G708:J708"/>
    <mergeCell ref="B709:F709"/>
    <mergeCell ref="G706:J706"/>
    <mergeCell ref="Y707:AB707"/>
    <mergeCell ref="Y710:AB710"/>
    <mergeCell ref="Y704:AB704"/>
    <mergeCell ref="Y706:AB706"/>
    <mergeCell ref="Y708:AB708"/>
    <mergeCell ref="Y703:AB703"/>
    <mergeCell ref="Y705:AB705"/>
    <mergeCell ref="Y709:AB709"/>
    <mergeCell ref="B710:F710"/>
    <mergeCell ref="K708:N708"/>
    <mergeCell ref="G710:J710"/>
    <mergeCell ref="K707:N707"/>
    <mergeCell ref="B704:F704"/>
    <mergeCell ref="K709:N709"/>
    <mergeCell ref="O709:S709"/>
    <mergeCell ref="O708:S708"/>
    <mergeCell ref="G704:J704"/>
    <mergeCell ref="K704:N704"/>
    <mergeCell ref="O704:S704"/>
    <mergeCell ref="G705:J70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F98" sqref="F98"/>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611" t="s">
        <v>184</v>
      </c>
      <c r="G1" s="1612"/>
      <c r="H1" s="1612"/>
      <c r="I1" s="1612"/>
      <c r="J1" s="1612"/>
      <c r="K1" s="1612"/>
      <c r="L1" s="1612"/>
      <c r="M1" s="1612"/>
      <c r="N1" s="1612"/>
      <c r="O1" s="1612"/>
      <c r="P1" s="1612"/>
      <c r="Q1" s="1612"/>
      <c r="R1" s="1613"/>
      <c r="S1" s="200"/>
      <c r="T1" s="199"/>
      <c r="U1" s="201"/>
    </row>
    <row r="2" spans="1:21" s="230" customFormat="1" ht="60" customHeight="1">
      <c r="A2" s="229"/>
      <c r="B2" s="230" t="s">
        <v>797</v>
      </c>
      <c r="C2" s="230" t="s">
        <v>507</v>
      </c>
      <c r="D2" s="230" t="s">
        <v>506</v>
      </c>
      <c r="E2" s="230" t="s">
        <v>798</v>
      </c>
      <c r="F2" s="231" t="str">
        <f>Application!B629&amp;Application!C629</f>
        <v>1)NPLH Capital Funds</v>
      </c>
      <c r="G2" s="231" t="str">
        <f>Application!B630&amp;Application!C630</f>
        <v>2)NPLH COSR Funds</v>
      </c>
      <c r="H2" s="231" t="str">
        <f>Application!B631&amp;Application!C631</f>
        <v>3)Solar Tax Credit Equity</v>
      </c>
      <c r="I2" s="231" t="str">
        <f>Application!B632&amp;Application!C632</f>
        <v>4)HOME Funds</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738000</v>
      </c>
      <c r="C4" s="239">
        <v>738000</v>
      </c>
      <c r="D4" s="239"/>
      <c r="E4" s="239">
        <f>+C4-SUM(F4:J4)</f>
        <v>738000</v>
      </c>
      <c r="F4" s="239"/>
      <c r="G4" s="239"/>
      <c r="H4" s="239"/>
      <c r="I4" s="239"/>
      <c r="J4" s="239"/>
      <c r="K4" s="239"/>
      <c r="L4" s="239"/>
      <c r="M4" s="239"/>
      <c r="N4" s="239"/>
      <c r="O4" s="239"/>
      <c r="P4" s="239"/>
      <c r="Q4" s="239"/>
      <c r="R4" s="239">
        <f>C4</f>
        <v>738000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738000</v>
      </c>
      <c r="C8" s="238">
        <f t="shared" ref="C8:R8" si="0">SUM(C4:C7)</f>
        <v>738000</v>
      </c>
      <c r="D8" s="238">
        <f t="shared" si="0"/>
        <v>0</v>
      </c>
      <c r="E8" s="238">
        <f t="shared" si="0"/>
        <v>738000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738000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738000</v>
      </c>
      <c r="C12" s="238">
        <f t="shared" si="2"/>
        <v>738000</v>
      </c>
      <c r="D12" s="238">
        <f t="shared" si="2"/>
        <v>0</v>
      </c>
      <c r="E12" s="238">
        <f t="shared" si="2"/>
        <v>738000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738000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2251190</v>
      </c>
      <c r="C29" s="239">
        <v>2251190</v>
      </c>
      <c r="D29" s="239"/>
      <c r="E29" s="239">
        <f t="shared" ref="E29:E37" si="7">+C29-SUM(F29:J29)</f>
        <v>2251190</v>
      </c>
      <c r="F29" s="239"/>
      <c r="G29" s="239"/>
      <c r="H29" s="239"/>
      <c r="I29" s="239"/>
      <c r="J29" s="239"/>
      <c r="K29" s="239"/>
      <c r="L29" s="239"/>
      <c r="M29" s="239"/>
      <c r="N29" s="239"/>
      <c r="O29" s="239"/>
      <c r="P29" s="239"/>
      <c r="Q29" s="239"/>
      <c r="R29" s="239">
        <f t="shared" ref="R29:R37" si="8">SUM(E29:Q29)</f>
        <v>2251190</v>
      </c>
      <c r="S29" s="239">
        <f>+R29</f>
        <v>2251190</v>
      </c>
      <c r="T29" s="239"/>
      <c r="U29" s="235"/>
    </row>
    <row r="30" spans="1:21" s="236" customFormat="1">
      <c r="A30" s="237" t="s">
        <v>911</v>
      </c>
      <c r="B30" s="238">
        <f t="shared" si="6"/>
        <v>10234892</v>
      </c>
      <c r="C30" s="239">
        <v>10234892</v>
      </c>
      <c r="D30" s="239"/>
      <c r="E30" s="239">
        <f t="shared" si="7"/>
        <v>2441605</v>
      </c>
      <c r="F30" s="239"/>
      <c r="G30" s="239"/>
      <c r="H30" s="239">
        <v>212399</v>
      </c>
      <c r="I30" s="239">
        <v>7580888</v>
      </c>
      <c r="J30" s="239"/>
      <c r="K30" s="239"/>
      <c r="L30" s="239"/>
      <c r="M30" s="239"/>
      <c r="N30" s="239"/>
      <c r="O30" s="239"/>
      <c r="P30" s="239"/>
      <c r="Q30" s="239"/>
      <c r="R30" s="239">
        <f t="shared" si="8"/>
        <v>10234892</v>
      </c>
      <c r="S30" s="239">
        <f t="shared" ref="S30:S36" si="9">+R30</f>
        <v>10234892</v>
      </c>
      <c r="T30" s="239"/>
      <c r="U30" s="235"/>
    </row>
    <row r="31" spans="1:21" s="236" customFormat="1">
      <c r="A31" s="237" t="s">
        <v>912</v>
      </c>
      <c r="B31" s="238">
        <f t="shared" si="6"/>
        <v>749165</v>
      </c>
      <c r="C31" s="239">
        <v>749165</v>
      </c>
      <c r="D31" s="239"/>
      <c r="E31" s="239">
        <f t="shared" si="7"/>
        <v>749165</v>
      </c>
      <c r="F31" s="239"/>
      <c r="G31" s="239"/>
      <c r="H31" s="239"/>
      <c r="I31" s="239"/>
      <c r="J31" s="239"/>
      <c r="K31" s="239"/>
      <c r="L31" s="239"/>
      <c r="M31" s="239"/>
      <c r="N31" s="239"/>
      <c r="O31" s="239"/>
      <c r="P31" s="239"/>
      <c r="Q31" s="239"/>
      <c r="R31" s="239">
        <f t="shared" si="8"/>
        <v>749165</v>
      </c>
      <c r="S31" s="239">
        <f t="shared" si="9"/>
        <v>749165</v>
      </c>
      <c r="T31" s="239"/>
      <c r="U31" s="235"/>
    </row>
    <row r="32" spans="1:21" s="236" customFormat="1">
      <c r="A32" s="237" t="s">
        <v>913</v>
      </c>
      <c r="B32" s="238">
        <f t="shared" si="6"/>
        <v>264705</v>
      </c>
      <c r="C32" s="239">
        <v>264705</v>
      </c>
      <c r="D32" s="239"/>
      <c r="E32" s="239">
        <f t="shared" si="7"/>
        <v>264705</v>
      </c>
      <c r="F32" s="239"/>
      <c r="G32" s="239"/>
      <c r="H32" s="239"/>
      <c r="I32" s="239"/>
      <c r="J32" s="239"/>
      <c r="K32" s="239"/>
      <c r="L32" s="239"/>
      <c r="M32" s="239"/>
      <c r="N32" s="239"/>
      <c r="O32" s="239"/>
      <c r="P32" s="239"/>
      <c r="Q32" s="239"/>
      <c r="R32" s="239">
        <f t="shared" si="8"/>
        <v>264705</v>
      </c>
      <c r="S32" s="239">
        <f t="shared" si="9"/>
        <v>264705</v>
      </c>
      <c r="T32" s="239"/>
      <c r="U32" s="235"/>
    </row>
    <row r="33" spans="1:21" s="236" customFormat="1">
      <c r="A33" s="237" t="s">
        <v>914</v>
      </c>
      <c r="B33" s="238">
        <f t="shared" si="6"/>
        <v>794115</v>
      </c>
      <c r="C33" s="239">
        <v>794115</v>
      </c>
      <c r="D33" s="239"/>
      <c r="E33" s="239">
        <f t="shared" si="7"/>
        <v>794115</v>
      </c>
      <c r="F33" s="239"/>
      <c r="G33" s="239"/>
      <c r="H33" s="239"/>
      <c r="I33" s="239"/>
      <c r="J33" s="239"/>
      <c r="K33" s="239"/>
      <c r="L33" s="239"/>
      <c r="M33" s="239"/>
      <c r="N33" s="239"/>
      <c r="O33" s="239"/>
      <c r="P33" s="239"/>
      <c r="Q33" s="239"/>
      <c r="R33" s="239">
        <f t="shared" si="8"/>
        <v>794115</v>
      </c>
      <c r="S33" s="239">
        <f t="shared" si="9"/>
        <v>794115</v>
      </c>
      <c r="T33" s="239"/>
      <c r="U33" s="235"/>
    </row>
    <row r="34" spans="1:21" s="236" customFormat="1">
      <c r="A34" s="237" t="s">
        <v>915</v>
      </c>
      <c r="B34" s="238">
        <f t="shared" si="6"/>
        <v>0</v>
      </c>
      <c r="C34" s="239"/>
      <c r="D34" s="239"/>
      <c r="E34" s="239">
        <f t="shared" si="7"/>
        <v>0</v>
      </c>
      <c r="F34" s="239"/>
      <c r="G34" s="239"/>
      <c r="H34" s="239"/>
      <c r="I34" s="239"/>
      <c r="J34" s="239"/>
      <c r="K34" s="239"/>
      <c r="L34" s="239"/>
      <c r="M34" s="239"/>
      <c r="N34" s="239"/>
      <c r="O34" s="239"/>
      <c r="P34" s="239"/>
      <c r="Q34" s="239"/>
      <c r="R34" s="239">
        <f t="shared" si="8"/>
        <v>0</v>
      </c>
      <c r="S34" s="239">
        <f t="shared" si="9"/>
        <v>0</v>
      </c>
      <c r="T34" s="239"/>
      <c r="U34" s="235"/>
    </row>
    <row r="35" spans="1:21" s="236" customFormat="1">
      <c r="A35" s="237" t="s">
        <v>916</v>
      </c>
      <c r="B35" s="238">
        <f t="shared" si="6"/>
        <v>428822</v>
      </c>
      <c r="C35" s="239">
        <v>428822</v>
      </c>
      <c r="D35" s="239"/>
      <c r="E35" s="239">
        <f t="shared" si="7"/>
        <v>428822</v>
      </c>
      <c r="F35" s="239"/>
      <c r="G35" s="239"/>
      <c r="H35" s="239"/>
      <c r="I35" s="239"/>
      <c r="J35" s="239"/>
      <c r="K35" s="239"/>
      <c r="L35" s="239"/>
      <c r="M35" s="239"/>
      <c r="N35" s="239"/>
      <c r="O35" s="239"/>
      <c r="P35" s="239"/>
      <c r="Q35" s="239"/>
      <c r="R35" s="239">
        <f t="shared" si="8"/>
        <v>428822</v>
      </c>
      <c r="S35" s="239">
        <f t="shared" si="9"/>
        <v>428822</v>
      </c>
      <c r="T35" s="239"/>
      <c r="U35" s="235"/>
    </row>
    <row r="36" spans="1:21" s="236" customFormat="1">
      <c r="A36" s="248" t="s">
        <v>1940</v>
      </c>
      <c r="B36" s="238">
        <f t="shared" si="6"/>
        <v>0</v>
      </c>
      <c r="C36" s="239"/>
      <c r="D36" s="239"/>
      <c r="E36" s="239">
        <f t="shared" si="7"/>
        <v>0</v>
      </c>
      <c r="F36" s="239"/>
      <c r="G36" s="239"/>
      <c r="H36" s="239"/>
      <c r="I36" s="239"/>
      <c r="J36" s="239"/>
      <c r="K36" s="239"/>
      <c r="L36" s="239"/>
      <c r="M36" s="239"/>
      <c r="N36" s="239"/>
      <c r="O36" s="239"/>
      <c r="P36" s="239"/>
      <c r="Q36" s="239"/>
      <c r="R36" s="239">
        <f t="shared" si="8"/>
        <v>0</v>
      </c>
      <c r="S36" s="239">
        <f t="shared" si="9"/>
        <v>0</v>
      </c>
      <c r="T36" s="239"/>
      <c r="U36" s="235"/>
    </row>
    <row r="37" spans="1:21" s="236" customFormat="1">
      <c r="A37" s="244" t="s">
        <v>533</v>
      </c>
      <c r="B37" s="238">
        <f t="shared" si="6"/>
        <v>0</v>
      </c>
      <c r="C37" s="239"/>
      <c r="D37" s="239"/>
      <c r="E37" s="239">
        <f t="shared" si="7"/>
        <v>0</v>
      </c>
      <c r="F37" s="239"/>
      <c r="G37" s="239"/>
      <c r="H37" s="239"/>
      <c r="I37" s="239"/>
      <c r="J37" s="239"/>
      <c r="K37" s="239"/>
      <c r="L37" s="239"/>
      <c r="M37" s="239"/>
      <c r="N37" s="239"/>
      <c r="O37" s="239"/>
      <c r="P37" s="239"/>
      <c r="Q37" s="239"/>
      <c r="R37" s="239">
        <f t="shared" si="8"/>
        <v>0</v>
      </c>
      <c r="S37" s="239"/>
      <c r="T37" s="239"/>
      <c r="U37" s="235"/>
    </row>
    <row r="38" spans="1:21" s="236" customFormat="1">
      <c r="A38" s="241" t="s">
        <v>919</v>
      </c>
      <c r="B38" s="238">
        <f t="shared" si="6"/>
        <v>14722889</v>
      </c>
      <c r="C38" s="238">
        <f>SUM(C29:C37)</f>
        <v>14722889</v>
      </c>
      <c r="D38" s="238">
        <f>SUM(D29:D37)</f>
        <v>0</v>
      </c>
      <c r="E38" s="238">
        <f>SUM(E29:E37)</f>
        <v>6929602</v>
      </c>
      <c r="F38" s="238">
        <f t="shared" ref="F38:T38" si="10">SUM(F29:F37)</f>
        <v>0</v>
      </c>
      <c r="G38" s="238">
        <f t="shared" si="10"/>
        <v>0</v>
      </c>
      <c r="H38" s="238">
        <f t="shared" si="10"/>
        <v>212399</v>
      </c>
      <c r="I38" s="238">
        <f t="shared" si="10"/>
        <v>7580888</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14722889</v>
      </c>
      <c r="S38" s="242">
        <f t="shared" si="10"/>
        <v>14722889</v>
      </c>
      <c r="T38" s="242">
        <f t="shared" si="10"/>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650000</v>
      </c>
      <c r="C40" s="239">
        <v>650000</v>
      </c>
      <c r="D40" s="239"/>
      <c r="E40" s="239">
        <f t="shared" ref="E40:E41" si="11">+C40-SUM(F40:J40)</f>
        <v>650000</v>
      </c>
      <c r="F40" s="239"/>
      <c r="G40" s="239"/>
      <c r="H40" s="239"/>
      <c r="I40" s="239"/>
      <c r="J40" s="239"/>
      <c r="K40" s="239"/>
      <c r="L40" s="239"/>
      <c r="M40" s="239"/>
      <c r="N40" s="239"/>
      <c r="O40" s="239"/>
      <c r="P40" s="239"/>
      <c r="Q40" s="239"/>
      <c r="R40" s="239">
        <f>SUM(E40:Q40)</f>
        <v>650000</v>
      </c>
      <c r="S40" s="239">
        <f t="shared" ref="S40:S41" si="12">+R40</f>
        <v>650000</v>
      </c>
      <c r="T40" s="239"/>
      <c r="U40" s="235"/>
    </row>
    <row r="41" spans="1:21" s="236" customFormat="1">
      <c r="A41" s="237" t="s">
        <v>922</v>
      </c>
      <c r="B41" s="238">
        <f>SUM(C41+D41)</f>
        <v>0</v>
      </c>
      <c r="C41" s="239"/>
      <c r="D41" s="239"/>
      <c r="E41" s="239">
        <f t="shared" si="11"/>
        <v>0</v>
      </c>
      <c r="F41" s="239"/>
      <c r="G41" s="239"/>
      <c r="H41" s="239"/>
      <c r="I41" s="239"/>
      <c r="J41" s="239"/>
      <c r="K41" s="239"/>
      <c r="L41" s="239"/>
      <c r="M41" s="239"/>
      <c r="N41" s="239"/>
      <c r="O41" s="239"/>
      <c r="P41" s="239"/>
      <c r="Q41" s="239"/>
      <c r="R41" s="239">
        <f>SUM(E41:Q41)</f>
        <v>0</v>
      </c>
      <c r="S41" s="239">
        <f t="shared" si="12"/>
        <v>0</v>
      </c>
      <c r="T41" s="239"/>
      <c r="U41" s="235"/>
    </row>
    <row r="42" spans="1:21" s="236" customFormat="1">
      <c r="A42" s="241" t="s">
        <v>923</v>
      </c>
      <c r="B42" s="238">
        <f>SUM(C42:D42)</f>
        <v>650000</v>
      </c>
      <c r="C42" s="238">
        <f>SUM(C39:C41)</f>
        <v>650000</v>
      </c>
      <c r="D42" s="238">
        <f>SUM(D39:D41)</f>
        <v>0</v>
      </c>
      <c r="E42" s="238">
        <f t="shared" ref="E42:T42" si="13">SUM(E40:E41)</f>
        <v>650000</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650000</v>
      </c>
      <c r="S42" s="242">
        <f t="shared" si="13"/>
        <v>650000</v>
      </c>
      <c r="T42" s="242">
        <f t="shared" si="13"/>
        <v>0</v>
      </c>
      <c r="U42" s="235"/>
    </row>
    <row r="43" spans="1:21" s="236" customFormat="1">
      <c r="A43" s="241" t="s">
        <v>924</v>
      </c>
      <c r="B43" s="238">
        <f>SUM(C43:D43)</f>
        <v>150000</v>
      </c>
      <c r="C43" s="239">
        <v>150000</v>
      </c>
      <c r="D43" s="239"/>
      <c r="E43" s="239">
        <f t="shared" ref="E43" si="14">+C43-SUM(F43:J43)</f>
        <v>150000</v>
      </c>
      <c r="F43" s="239">
        <v>0</v>
      </c>
      <c r="G43" s="239"/>
      <c r="H43" s="239"/>
      <c r="I43" s="239"/>
      <c r="J43" s="239"/>
      <c r="K43" s="239"/>
      <c r="L43" s="239"/>
      <c r="M43" s="239"/>
      <c r="N43" s="239"/>
      <c r="O43" s="239"/>
      <c r="P43" s="239"/>
      <c r="Q43" s="239"/>
      <c r="R43" s="239">
        <f>SUM(E43:Q43)</f>
        <v>150000</v>
      </c>
      <c r="S43" s="239">
        <f>+R43</f>
        <v>150000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5">SUM(C45+D45)</f>
        <v>1415241</v>
      </c>
      <c r="C45" s="239">
        <f>1000000+415241</f>
        <v>1415241</v>
      </c>
      <c r="D45" s="239"/>
      <c r="E45" s="239">
        <f t="shared" ref="E45:E52" si="16">+C45-SUM(F45:J45)</f>
        <v>1415241</v>
      </c>
      <c r="F45" s="239"/>
      <c r="G45" s="239"/>
      <c r="H45" s="239"/>
      <c r="I45" s="239"/>
      <c r="J45" s="239"/>
      <c r="K45" s="239"/>
      <c r="L45" s="239"/>
      <c r="M45" s="239"/>
      <c r="N45" s="239"/>
      <c r="O45" s="239"/>
      <c r="P45" s="239"/>
      <c r="Q45" s="239"/>
      <c r="R45" s="239">
        <f t="shared" ref="R45:R52" si="17">SUM(E45:Q45)</f>
        <v>1415241</v>
      </c>
      <c r="S45" s="239">
        <v>1000000</v>
      </c>
      <c r="T45" s="239"/>
      <c r="U45" s="235"/>
    </row>
    <row r="46" spans="1:21" s="236" customFormat="1">
      <c r="A46" s="237" t="s">
        <v>927</v>
      </c>
      <c r="B46" s="238">
        <f t="shared" si="15"/>
        <v>0</v>
      </c>
      <c r="C46" s="239"/>
      <c r="D46" s="239"/>
      <c r="E46" s="239">
        <f t="shared" si="16"/>
        <v>0</v>
      </c>
      <c r="F46" s="239"/>
      <c r="G46" s="239"/>
      <c r="H46" s="239"/>
      <c r="I46" s="239"/>
      <c r="J46" s="239"/>
      <c r="K46" s="239"/>
      <c r="L46" s="239"/>
      <c r="M46" s="239"/>
      <c r="N46" s="239"/>
      <c r="O46" s="239"/>
      <c r="P46" s="239"/>
      <c r="Q46" s="239"/>
      <c r="R46" s="239">
        <f t="shared" si="17"/>
        <v>0</v>
      </c>
      <c r="S46" s="239">
        <f t="shared" ref="S46:S52" si="18">+R46</f>
        <v>0</v>
      </c>
      <c r="T46" s="239"/>
      <c r="U46" s="235"/>
    </row>
    <row r="47" spans="1:21" s="236" customFormat="1" ht="12" customHeight="1">
      <c r="A47" s="237" t="s">
        <v>928</v>
      </c>
      <c r="B47" s="238">
        <f t="shared" si="15"/>
        <v>35000</v>
      </c>
      <c r="C47" s="239">
        <v>35000</v>
      </c>
      <c r="D47" s="239"/>
      <c r="E47" s="239">
        <f t="shared" si="16"/>
        <v>35000</v>
      </c>
      <c r="F47" s="239"/>
      <c r="G47" s="239"/>
      <c r="H47" s="239"/>
      <c r="I47" s="239"/>
      <c r="J47" s="239"/>
      <c r="K47" s="239"/>
      <c r="L47" s="239"/>
      <c r="M47" s="239"/>
      <c r="N47" s="239"/>
      <c r="O47" s="239"/>
      <c r="P47" s="239"/>
      <c r="Q47" s="239"/>
      <c r="R47" s="239">
        <f t="shared" si="17"/>
        <v>35000</v>
      </c>
      <c r="S47" s="239">
        <f t="shared" si="18"/>
        <v>35000</v>
      </c>
      <c r="T47" s="239"/>
      <c r="U47" s="235"/>
    </row>
    <row r="48" spans="1:21" s="236" customFormat="1">
      <c r="A48" s="237" t="s">
        <v>929</v>
      </c>
      <c r="B48" s="238">
        <f t="shared" si="15"/>
        <v>0</v>
      </c>
      <c r="C48" s="239"/>
      <c r="D48" s="239"/>
      <c r="E48" s="239">
        <f t="shared" si="16"/>
        <v>0</v>
      </c>
      <c r="F48" s="239"/>
      <c r="G48" s="239"/>
      <c r="H48" s="239"/>
      <c r="I48" s="239"/>
      <c r="J48" s="239"/>
      <c r="K48" s="239"/>
      <c r="L48" s="239"/>
      <c r="M48" s="239"/>
      <c r="N48" s="239"/>
      <c r="O48" s="239"/>
      <c r="P48" s="239"/>
      <c r="Q48" s="239"/>
      <c r="R48" s="239">
        <f t="shared" si="17"/>
        <v>0</v>
      </c>
      <c r="S48" s="239">
        <f t="shared" si="18"/>
        <v>0</v>
      </c>
      <c r="T48" s="239"/>
      <c r="U48" s="235"/>
    </row>
    <row r="49" spans="1:21" s="236" customFormat="1">
      <c r="A49" s="237" t="s">
        <v>932</v>
      </c>
      <c r="B49" s="238">
        <f t="shared" si="15"/>
        <v>40000</v>
      </c>
      <c r="C49" s="239">
        <v>40000</v>
      </c>
      <c r="D49" s="239"/>
      <c r="E49" s="239">
        <f t="shared" si="16"/>
        <v>40000</v>
      </c>
      <c r="F49" s="239"/>
      <c r="G49" s="239"/>
      <c r="H49" s="239"/>
      <c r="I49" s="239"/>
      <c r="J49" s="239"/>
      <c r="K49" s="239"/>
      <c r="L49" s="239"/>
      <c r="M49" s="239"/>
      <c r="N49" s="239"/>
      <c r="O49" s="239"/>
      <c r="P49" s="239"/>
      <c r="Q49" s="239"/>
      <c r="R49" s="239">
        <f t="shared" si="17"/>
        <v>40000</v>
      </c>
      <c r="S49" s="239">
        <f t="shared" si="18"/>
        <v>40000</v>
      </c>
      <c r="T49" s="239"/>
      <c r="U49" s="235"/>
    </row>
    <row r="50" spans="1:21" s="236" customFormat="1">
      <c r="A50" s="237" t="s">
        <v>930</v>
      </c>
      <c r="B50" s="238">
        <f t="shared" si="15"/>
        <v>14760</v>
      </c>
      <c r="C50" s="239">
        <v>14760</v>
      </c>
      <c r="D50" s="239"/>
      <c r="E50" s="239">
        <f t="shared" si="16"/>
        <v>14760</v>
      </c>
      <c r="F50" s="239"/>
      <c r="G50" s="239"/>
      <c r="H50" s="239"/>
      <c r="I50" s="239"/>
      <c r="J50" s="239"/>
      <c r="K50" s="239"/>
      <c r="L50" s="239"/>
      <c r="M50" s="239"/>
      <c r="N50" s="239"/>
      <c r="O50" s="239"/>
      <c r="P50" s="239"/>
      <c r="Q50" s="239"/>
      <c r="R50" s="239">
        <f t="shared" si="17"/>
        <v>14760</v>
      </c>
      <c r="S50" s="239">
        <f t="shared" si="18"/>
        <v>14760</v>
      </c>
      <c r="T50" s="239"/>
      <c r="U50" s="235"/>
    </row>
    <row r="51" spans="1:21" s="236" customFormat="1">
      <c r="A51" s="237" t="s">
        <v>931</v>
      </c>
      <c r="B51" s="238">
        <f t="shared" si="15"/>
        <v>0</v>
      </c>
      <c r="C51" s="239"/>
      <c r="D51" s="239"/>
      <c r="E51" s="239">
        <f t="shared" si="16"/>
        <v>0</v>
      </c>
      <c r="F51" s="239"/>
      <c r="G51" s="239"/>
      <c r="H51" s="239"/>
      <c r="I51" s="239"/>
      <c r="J51" s="239"/>
      <c r="K51" s="239"/>
      <c r="L51" s="239"/>
      <c r="M51" s="239"/>
      <c r="N51" s="239"/>
      <c r="O51" s="239"/>
      <c r="P51" s="239"/>
      <c r="Q51" s="239"/>
      <c r="R51" s="239">
        <f t="shared" si="17"/>
        <v>0</v>
      </c>
      <c r="S51" s="239">
        <f t="shared" si="18"/>
        <v>0</v>
      </c>
      <c r="T51" s="239"/>
      <c r="U51" s="235"/>
    </row>
    <row r="52" spans="1:21" s="236" customFormat="1">
      <c r="A52" s="244" t="s">
        <v>2462</v>
      </c>
      <c r="B52" s="238">
        <f t="shared" si="15"/>
        <v>20000</v>
      </c>
      <c r="C52" s="239">
        <v>20000</v>
      </c>
      <c r="D52" s="239"/>
      <c r="E52" s="239">
        <f t="shared" si="16"/>
        <v>20000</v>
      </c>
      <c r="F52" s="239"/>
      <c r="G52" s="239"/>
      <c r="H52" s="239"/>
      <c r="I52" s="239"/>
      <c r="J52" s="239"/>
      <c r="K52" s="239"/>
      <c r="L52" s="239"/>
      <c r="M52" s="239"/>
      <c r="N52" s="239"/>
      <c r="O52" s="239"/>
      <c r="P52" s="239"/>
      <c r="Q52" s="239"/>
      <c r="R52" s="239">
        <f t="shared" si="17"/>
        <v>20000</v>
      </c>
      <c r="S52" s="239">
        <f t="shared" si="18"/>
        <v>20000</v>
      </c>
      <c r="T52" s="239"/>
      <c r="U52" s="235"/>
    </row>
    <row r="53" spans="1:21" s="246" customFormat="1">
      <c r="A53" s="241" t="s">
        <v>933</v>
      </c>
      <c r="B53" s="242">
        <f>SUM(C53:D53)</f>
        <v>1525001</v>
      </c>
      <c r="C53" s="242">
        <f t="shared" ref="C53:T53" si="19">SUM(C45:C52)</f>
        <v>1525001</v>
      </c>
      <c r="D53" s="242">
        <f t="shared" si="19"/>
        <v>0</v>
      </c>
      <c r="E53" s="242">
        <f t="shared" si="19"/>
        <v>1525001</v>
      </c>
      <c r="F53" s="242">
        <f t="shared" si="19"/>
        <v>0</v>
      </c>
      <c r="G53" s="242">
        <f t="shared" si="19"/>
        <v>0</v>
      </c>
      <c r="H53" s="242">
        <f t="shared" si="19"/>
        <v>0</v>
      </c>
      <c r="I53" s="242">
        <f t="shared" si="19"/>
        <v>0</v>
      </c>
      <c r="J53" s="242">
        <f t="shared" si="19"/>
        <v>0</v>
      </c>
      <c r="K53" s="242">
        <f t="shared" si="19"/>
        <v>0</v>
      </c>
      <c r="L53" s="242">
        <f t="shared" si="19"/>
        <v>0</v>
      </c>
      <c r="M53" s="242">
        <f t="shared" si="19"/>
        <v>0</v>
      </c>
      <c r="N53" s="242">
        <f t="shared" si="19"/>
        <v>0</v>
      </c>
      <c r="O53" s="242">
        <f t="shared" si="19"/>
        <v>0</v>
      </c>
      <c r="P53" s="242">
        <f t="shared" si="19"/>
        <v>0</v>
      </c>
      <c r="Q53" s="242">
        <f t="shared" si="19"/>
        <v>0</v>
      </c>
      <c r="R53" s="238">
        <f t="shared" si="19"/>
        <v>1525001</v>
      </c>
      <c r="S53" s="242">
        <f t="shared" si="19"/>
        <v>1109760</v>
      </c>
      <c r="T53" s="242">
        <f t="shared" si="19"/>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20">SUM(C55+D55)</f>
        <v>0</v>
      </c>
      <c r="C55" s="239"/>
      <c r="D55" s="239"/>
      <c r="E55" s="239"/>
      <c r="F55" s="239"/>
      <c r="G55" s="239"/>
      <c r="H55" s="239"/>
      <c r="I55" s="239"/>
      <c r="J55" s="239"/>
      <c r="K55" s="239"/>
      <c r="L55" s="239"/>
      <c r="M55" s="239"/>
      <c r="N55" s="239"/>
      <c r="O55" s="239"/>
      <c r="P55" s="239"/>
      <c r="Q55" s="239"/>
      <c r="R55" s="239">
        <f t="shared" ref="R55:R60" si="21">SUM(E55:Q55)</f>
        <v>0</v>
      </c>
      <c r="S55" s="240"/>
      <c r="T55" s="240"/>
      <c r="U55" s="235"/>
    </row>
    <row r="56" spans="1:21" s="236" customFormat="1" ht="12" customHeight="1">
      <c r="A56" s="237" t="s">
        <v>928</v>
      </c>
      <c r="B56" s="238">
        <f t="shared" si="20"/>
        <v>10000</v>
      </c>
      <c r="C56" s="239">
        <v>10000</v>
      </c>
      <c r="D56" s="239"/>
      <c r="E56" s="239">
        <f t="shared" ref="E56:E57" si="22">+C56-SUM(F56:J56)</f>
        <v>10000</v>
      </c>
      <c r="F56" s="239"/>
      <c r="G56" s="239"/>
      <c r="H56" s="239"/>
      <c r="I56" s="239"/>
      <c r="J56" s="239"/>
      <c r="K56" s="239"/>
      <c r="L56" s="239"/>
      <c r="M56" s="239"/>
      <c r="N56" s="239"/>
      <c r="O56" s="239"/>
      <c r="P56" s="239"/>
      <c r="Q56" s="239"/>
      <c r="R56" s="239">
        <f t="shared" si="21"/>
        <v>10000</v>
      </c>
      <c r="S56" s="240"/>
      <c r="T56" s="240"/>
      <c r="U56" s="235"/>
    </row>
    <row r="57" spans="1:21" s="236" customFormat="1">
      <c r="A57" s="237" t="s">
        <v>932</v>
      </c>
      <c r="B57" s="238">
        <f t="shared" si="20"/>
        <v>5000</v>
      </c>
      <c r="C57" s="239">
        <v>5000</v>
      </c>
      <c r="D57" s="239"/>
      <c r="E57" s="239">
        <f t="shared" si="22"/>
        <v>5000</v>
      </c>
      <c r="F57" s="239"/>
      <c r="G57" s="239"/>
      <c r="H57" s="239"/>
      <c r="I57" s="239"/>
      <c r="J57" s="239"/>
      <c r="K57" s="239"/>
      <c r="L57" s="239"/>
      <c r="M57" s="239"/>
      <c r="N57" s="239"/>
      <c r="O57" s="239"/>
      <c r="P57" s="239"/>
      <c r="Q57" s="239"/>
      <c r="R57" s="239">
        <f t="shared" si="21"/>
        <v>5000</v>
      </c>
      <c r="S57" s="240"/>
      <c r="T57" s="240"/>
      <c r="U57" s="235"/>
    </row>
    <row r="58" spans="1:21" s="236" customFormat="1">
      <c r="A58" s="237" t="s">
        <v>930</v>
      </c>
      <c r="B58" s="238">
        <f t="shared" si="20"/>
        <v>0</v>
      </c>
      <c r="C58" s="239"/>
      <c r="D58" s="239"/>
      <c r="E58" s="239"/>
      <c r="F58" s="239"/>
      <c r="G58" s="239"/>
      <c r="H58" s="239"/>
      <c r="I58" s="239"/>
      <c r="J58" s="239"/>
      <c r="K58" s="239"/>
      <c r="L58" s="239"/>
      <c r="M58" s="239"/>
      <c r="N58" s="239"/>
      <c r="O58" s="239"/>
      <c r="P58" s="239"/>
      <c r="Q58" s="239"/>
      <c r="R58" s="239">
        <f t="shared" si="21"/>
        <v>0</v>
      </c>
      <c r="S58" s="240"/>
      <c r="T58" s="240"/>
      <c r="U58" s="235"/>
    </row>
    <row r="59" spans="1:21" s="236" customFormat="1">
      <c r="A59" s="237" t="s">
        <v>931</v>
      </c>
      <c r="B59" s="238">
        <f t="shared" si="20"/>
        <v>0</v>
      </c>
      <c r="C59" s="239"/>
      <c r="D59" s="239"/>
      <c r="E59" s="239"/>
      <c r="F59" s="239"/>
      <c r="G59" s="239"/>
      <c r="H59" s="239"/>
      <c r="I59" s="239"/>
      <c r="J59" s="239"/>
      <c r="K59" s="239"/>
      <c r="L59" s="239"/>
      <c r="M59" s="239"/>
      <c r="N59" s="239"/>
      <c r="O59" s="239"/>
      <c r="P59" s="239"/>
      <c r="Q59" s="239"/>
      <c r="R59" s="239">
        <f t="shared" si="21"/>
        <v>0</v>
      </c>
      <c r="S59" s="240"/>
      <c r="T59" s="240"/>
      <c r="U59" s="235"/>
    </row>
    <row r="60" spans="1:21" s="236" customFormat="1">
      <c r="A60" s="244" t="s">
        <v>533</v>
      </c>
      <c r="B60" s="238">
        <f t="shared" si="20"/>
        <v>0</v>
      </c>
      <c r="C60" s="239"/>
      <c r="D60" s="239"/>
      <c r="E60" s="239"/>
      <c r="F60" s="239"/>
      <c r="G60" s="239"/>
      <c r="H60" s="239"/>
      <c r="I60" s="239"/>
      <c r="J60" s="239"/>
      <c r="K60" s="239"/>
      <c r="L60" s="239"/>
      <c r="M60" s="239"/>
      <c r="N60" s="239"/>
      <c r="O60" s="239"/>
      <c r="P60" s="239"/>
      <c r="Q60" s="239"/>
      <c r="R60" s="239">
        <f t="shared" si="21"/>
        <v>0</v>
      </c>
      <c r="S60" s="240"/>
      <c r="T60" s="240"/>
      <c r="U60" s="235"/>
    </row>
    <row r="61" spans="1:21" s="236" customFormat="1" ht="13.9" customHeight="1">
      <c r="A61" s="241" t="s">
        <v>500</v>
      </c>
      <c r="B61" s="238">
        <f>SUM(C61:D61)</f>
        <v>15000</v>
      </c>
      <c r="C61" s="238">
        <f t="shared" ref="C61:R61" si="23">SUM(C55:C60)</f>
        <v>15000</v>
      </c>
      <c r="D61" s="238">
        <f t="shared" si="23"/>
        <v>0</v>
      </c>
      <c r="E61" s="238">
        <f t="shared" si="23"/>
        <v>15000</v>
      </c>
      <c r="F61" s="238">
        <f t="shared" si="23"/>
        <v>0</v>
      </c>
      <c r="G61" s="238">
        <f t="shared" si="23"/>
        <v>0</v>
      </c>
      <c r="H61" s="238">
        <f t="shared" si="23"/>
        <v>0</v>
      </c>
      <c r="I61" s="238">
        <f t="shared" si="23"/>
        <v>0</v>
      </c>
      <c r="J61" s="238">
        <f t="shared" si="23"/>
        <v>0</v>
      </c>
      <c r="K61" s="238">
        <f t="shared" si="23"/>
        <v>0</v>
      </c>
      <c r="L61" s="238">
        <f t="shared" si="23"/>
        <v>0</v>
      </c>
      <c r="M61" s="238">
        <f t="shared" si="23"/>
        <v>0</v>
      </c>
      <c r="N61" s="238">
        <f t="shared" si="23"/>
        <v>0</v>
      </c>
      <c r="O61" s="238">
        <f t="shared" si="23"/>
        <v>0</v>
      </c>
      <c r="P61" s="238">
        <f t="shared" si="23"/>
        <v>0</v>
      </c>
      <c r="Q61" s="238">
        <f t="shared" si="23"/>
        <v>0</v>
      </c>
      <c r="R61" s="238">
        <f t="shared" si="23"/>
        <v>15000</v>
      </c>
      <c r="S61" s="240"/>
      <c r="T61" s="240"/>
      <c r="U61" s="235"/>
    </row>
    <row r="62" spans="1:21" s="236" customFormat="1">
      <c r="A62" s="247" t="s">
        <v>501</v>
      </c>
      <c r="B62" s="238">
        <f>SUM(C62:D62)</f>
        <v>17800890</v>
      </c>
      <c r="C62" s="238">
        <f t="shared" ref="C62:R62" si="24">SUM(C8+C11+C13+C14+C15+C26+C27+C38+C42+C43+C53+C61)</f>
        <v>17800890</v>
      </c>
      <c r="D62" s="238">
        <f t="shared" si="24"/>
        <v>0</v>
      </c>
      <c r="E62" s="238">
        <f t="shared" si="24"/>
        <v>10007603</v>
      </c>
      <c r="F62" s="238">
        <f t="shared" si="24"/>
        <v>0</v>
      </c>
      <c r="G62" s="238">
        <f t="shared" si="24"/>
        <v>0</v>
      </c>
      <c r="H62" s="238">
        <f t="shared" si="24"/>
        <v>212399</v>
      </c>
      <c r="I62" s="238">
        <f t="shared" si="24"/>
        <v>7580888</v>
      </c>
      <c r="J62" s="238">
        <f t="shared" si="24"/>
        <v>0</v>
      </c>
      <c r="K62" s="238">
        <f t="shared" si="24"/>
        <v>0</v>
      </c>
      <c r="L62" s="238">
        <f t="shared" si="24"/>
        <v>0</v>
      </c>
      <c r="M62" s="238">
        <f t="shared" si="24"/>
        <v>0</v>
      </c>
      <c r="N62" s="238">
        <f t="shared" si="24"/>
        <v>0</v>
      </c>
      <c r="O62" s="238">
        <f t="shared" si="24"/>
        <v>0</v>
      </c>
      <c r="P62" s="238">
        <f t="shared" si="24"/>
        <v>0</v>
      </c>
      <c r="Q62" s="238">
        <f t="shared" si="24"/>
        <v>0</v>
      </c>
      <c r="R62" s="238">
        <f t="shared" si="24"/>
        <v>17800890</v>
      </c>
      <c r="S62" s="238">
        <f>SUM(S10+S13+S14+S15+S26+S27+S38+S42+S43+S53)</f>
        <v>16632649</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65000</v>
      </c>
      <c r="D64" s="239"/>
      <c r="E64" s="239">
        <f t="shared" ref="E64:E68" si="25">+C64-SUM(F64:J64)</f>
        <v>0</v>
      </c>
      <c r="F64" s="239">
        <v>65000</v>
      </c>
      <c r="G64" s="239"/>
      <c r="H64" s="239"/>
      <c r="I64" s="239"/>
      <c r="J64" s="239"/>
      <c r="K64" s="239"/>
      <c r="L64" s="239"/>
      <c r="M64" s="239"/>
      <c r="N64" s="239"/>
      <c r="O64" s="239"/>
      <c r="P64" s="239"/>
      <c r="Q64" s="239"/>
      <c r="R64" s="239">
        <f>SUM(E64:Q64)</f>
        <v>65000</v>
      </c>
      <c r="S64" s="239">
        <f t="shared" ref="S64:S68" si="26">+R64</f>
        <v>65000</v>
      </c>
      <c r="T64" s="239"/>
      <c r="U64" s="235"/>
    </row>
    <row r="65" spans="1:21" s="236" customFormat="1" ht="24">
      <c r="A65" s="237" t="s">
        <v>1942</v>
      </c>
      <c r="B65" s="238">
        <f>SUM(C65+D65)</f>
        <v>0</v>
      </c>
      <c r="C65" s="239"/>
      <c r="D65" s="239"/>
      <c r="E65" s="239">
        <f t="shared" si="25"/>
        <v>0</v>
      </c>
      <c r="F65" s="239"/>
      <c r="G65" s="239"/>
      <c r="H65" s="239"/>
      <c r="I65" s="239"/>
      <c r="J65" s="239"/>
      <c r="K65" s="239"/>
      <c r="L65" s="239"/>
      <c r="M65" s="239"/>
      <c r="N65" s="239"/>
      <c r="O65" s="239"/>
      <c r="P65" s="239"/>
      <c r="Q65" s="239"/>
      <c r="R65" s="239">
        <f>SUM(E65:Q65)</f>
        <v>0</v>
      </c>
      <c r="S65" s="239">
        <f t="shared" si="26"/>
        <v>0</v>
      </c>
      <c r="T65" s="239"/>
      <c r="U65" s="235"/>
    </row>
    <row r="66" spans="1:21" s="236" customFormat="1" ht="24">
      <c r="A66" s="237" t="s">
        <v>1943</v>
      </c>
      <c r="B66" s="238">
        <f>SUM(C66+D66)</f>
        <v>0</v>
      </c>
      <c r="C66" s="239"/>
      <c r="D66" s="239"/>
      <c r="E66" s="239">
        <f t="shared" si="25"/>
        <v>0</v>
      </c>
      <c r="F66" s="239"/>
      <c r="G66" s="239"/>
      <c r="H66" s="239"/>
      <c r="I66" s="239"/>
      <c r="J66" s="239"/>
      <c r="K66" s="239"/>
      <c r="L66" s="239"/>
      <c r="M66" s="239"/>
      <c r="N66" s="239"/>
      <c r="O66" s="239"/>
      <c r="P66" s="239"/>
      <c r="Q66" s="239"/>
      <c r="R66" s="239">
        <f>SUM(E66:Q66)</f>
        <v>0</v>
      </c>
      <c r="S66" s="239">
        <f t="shared" si="26"/>
        <v>0</v>
      </c>
      <c r="T66" s="239"/>
      <c r="U66" s="235"/>
    </row>
    <row r="67" spans="1:21" s="236" customFormat="1">
      <c r="A67" s="237" t="s">
        <v>1944</v>
      </c>
      <c r="B67" s="238">
        <f>SUM(C67+D67)</f>
        <v>0</v>
      </c>
      <c r="C67" s="239"/>
      <c r="D67" s="239"/>
      <c r="E67" s="239">
        <f t="shared" si="25"/>
        <v>0</v>
      </c>
      <c r="F67" s="239"/>
      <c r="G67" s="239"/>
      <c r="H67" s="239"/>
      <c r="I67" s="239"/>
      <c r="J67" s="239"/>
      <c r="K67" s="239"/>
      <c r="L67" s="239"/>
      <c r="M67" s="239"/>
      <c r="N67" s="239"/>
      <c r="O67" s="239"/>
      <c r="P67" s="239"/>
      <c r="Q67" s="239"/>
      <c r="R67" s="239">
        <f>SUM(E67:Q67)</f>
        <v>0</v>
      </c>
      <c r="S67" s="239">
        <f t="shared" si="26"/>
        <v>0</v>
      </c>
      <c r="T67" s="239"/>
      <c r="U67" s="235"/>
    </row>
    <row r="68" spans="1:21" s="236" customFormat="1">
      <c r="A68" s="244" t="s">
        <v>2463</v>
      </c>
      <c r="B68" s="238">
        <f>SUM(C68+D68)</f>
        <v>50000</v>
      </c>
      <c r="C68" s="239">
        <v>50000</v>
      </c>
      <c r="D68" s="239"/>
      <c r="E68" s="239">
        <f t="shared" si="25"/>
        <v>0</v>
      </c>
      <c r="F68" s="239">
        <v>50000</v>
      </c>
      <c r="G68" s="239"/>
      <c r="H68" s="239"/>
      <c r="I68" s="239"/>
      <c r="J68" s="239"/>
      <c r="K68" s="239"/>
      <c r="L68" s="239"/>
      <c r="M68" s="239"/>
      <c r="N68" s="239"/>
      <c r="O68" s="239"/>
      <c r="P68" s="239"/>
      <c r="Q68" s="239"/>
      <c r="R68" s="239">
        <f>SUM(E68:Q68)</f>
        <v>50000</v>
      </c>
      <c r="S68" s="239">
        <f t="shared" si="26"/>
        <v>50000</v>
      </c>
      <c r="T68" s="239"/>
      <c r="U68" s="235"/>
    </row>
    <row r="69" spans="1:21" s="236" customFormat="1">
      <c r="A69" s="241" t="s">
        <v>1945</v>
      </c>
      <c r="B69" s="238">
        <f>SUM(C69:D69)</f>
        <v>115000</v>
      </c>
      <c r="C69" s="238">
        <f>SUM(C63:C68)</f>
        <v>115000</v>
      </c>
      <c r="D69" s="238">
        <f>SUM(D63:D68)</f>
        <v>0</v>
      </c>
      <c r="E69" s="238">
        <f t="shared" ref="E69:T69" si="27">SUM(E64:E68)</f>
        <v>0</v>
      </c>
      <c r="F69" s="238">
        <f t="shared" si="27"/>
        <v>115000</v>
      </c>
      <c r="G69" s="238">
        <f t="shared" si="27"/>
        <v>0</v>
      </c>
      <c r="H69" s="238">
        <f t="shared" si="27"/>
        <v>0</v>
      </c>
      <c r="I69" s="238">
        <f t="shared" si="27"/>
        <v>0</v>
      </c>
      <c r="J69" s="238">
        <f t="shared" si="27"/>
        <v>0</v>
      </c>
      <c r="K69" s="238">
        <f t="shared" si="27"/>
        <v>0</v>
      </c>
      <c r="L69" s="238">
        <f t="shared" si="27"/>
        <v>0</v>
      </c>
      <c r="M69" s="238">
        <f t="shared" si="27"/>
        <v>0</v>
      </c>
      <c r="N69" s="238">
        <f t="shared" si="27"/>
        <v>0</v>
      </c>
      <c r="O69" s="238">
        <f t="shared" si="27"/>
        <v>0</v>
      </c>
      <c r="P69" s="238">
        <f t="shared" si="27"/>
        <v>0</v>
      </c>
      <c r="Q69" s="238">
        <f t="shared" si="27"/>
        <v>0</v>
      </c>
      <c r="R69" s="238">
        <f t="shared" si="27"/>
        <v>115000</v>
      </c>
      <c r="S69" s="242">
        <f t="shared" si="27"/>
        <v>115000</v>
      </c>
      <c r="T69" s="242">
        <f t="shared" si="2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30000</v>
      </c>
      <c r="C71" s="239">
        <v>30000</v>
      </c>
      <c r="D71" s="239"/>
      <c r="E71" s="239">
        <f t="shared" ref="E71" si="28">+C71-SUM(F71:J71)</f>
        <v>0</v>
      </c>
      <c r="F71" s="239">
        <v>30000</v>
      </c>
      <c r="G71" s="239"/>
      <c r="H71" s="239"/>
      <c r="I71" s="239"/>
      <c r="J71" s="239"/>
      <c r="K71" s="239"/>
      <c r="L71" s="239"/>
      <c r="M71" s="239"/>
      <c r="N71" s="239"/>
      <c r="O71" s="239"/>
      <c r="P71" s="239"/>
      <c r="Q71" s="239"/>
      <c r="R71" s="239">
        <f>SUM(E71:Q71)</f>
        <v>30000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89861</v>
      </c>
      <c r="C74" s="239">
        <v>89861</v>
      </c>
      <c r="D74" s="239"/>
      <c r="E74" s="239">
        <f t="shared" ref="E74:E75" si="29">+C74-SUM(F74:J74)</f>
        <v>89861</v>
      </c>
      <c r="F74" s="239"/>
      <c r="G74" s="239"/>
      <c r="H74" s="239"/>
      <c r="I74" s="239"/>
      <c r="J74" s="239"/>
      <c r="K74" s="239"/>
      <c r="L74" s="239"/>
      <c r="M74" s="239"/>
      <c r="N74" s="239"/>
      <c r="O74" s="239"/>
      <c r="P74" s="239"/>
      <c r="Q74" s="239"/>
      <c r="R74" s="239">
        <f>SUM(E74:Q74)</f>
        <v>89861</v>
      </c>
      <c r="S74" s="240"/>
      <c r="T74" s="240"/>
      <c r="U74" s="235"/>
    </row>
    <row r="75" spans="1:21" s="236" customFormat="1">
      <c r="A75" s="244" t="s">
        <v>2464</v>
      </c>
      <c r="B75" s="238">
        <f>SUM(C75+D75)</f>
        <v>4077205</v>
      </c>
      <c r="C75" s="239">
        <v>4077205</v>
      </c>
      <c r="D75" s="239"/>
      <c r="E75" s="239">
        <f t="shared" si="29"/>
        <v>0</v>
      </c>
      <c r="F75" s="239"/>
      <c r="G75" s="239">
        <v>4077205</v>
      </c>
      <c r="H75" s="239"/>
      <c r="I75" s="239"/>
      <c r="J75" s="239"/>
      <c r="K75" s="239"/>
      <c r="L75" s="239"/>
      <c r="M75" s="239"/>
      <c r="N75" s="239"/>
      <c r="O75" s="239"/>
      <c r="P75" s="239"/>
      <c r="Q75" s="239"/>
      <c r="R75" s="239">
        <f>SUM(E75:Q75)</f>
        <v>4077205</v>
      </c>
      <c r="S75" s="240"/>
      <c r="T75" s="240"/>
      <c r="U75" s="235"/>
    </row>
    <row r="76" spans="1:21" s="236" customFormat="1">
      <c r="A76" s="241" t="s">
        <v>289</v>
      </c>
      <c r="B76" s="238">
        <f>SUM(C76:D76)</f>
        <v>4197066</v>
      </c>
      <c r="C76" s="238">
        <f t="shared" ref="C76:Q76" si="30">SUM(C71:C75)</f>
        <v>4197066</v>
      </c>
      <c r="D76" s="238">
        <f t="shared" si="30"/>
        <v>0</v>
      </c>
      <c r="E76" s="238">
        <f>SUM(E71:E75)</f>
        <v>89861</v>
      </c>
      <c r="F76" s="238">
        <f>SUM(F71:F75)</f>
        <v>30000</v>
      </c>
      <c r="G76" s="238">
        <f>SUM(G71:G75)</f>
        <v>4077205</v>
      </c>
      <c r="H76" s="238">
        <f t="shared" si="30"/>
        <v>0</v>
      </c>
      <c r="I76" s="238">
        <f t="shared" si="30"/>
        <v>0</v>
      </c>
      <c r="J76" s="238">
        <f t="shared" si="30"/>
        <v>0</v>
      </c>
      <c r="K76" s="238">
        <f t="shared" si="30"/>
        <v>0</v>
      </c>
      <c r="L76" s="238">
        <f t="shared" si="30"/>
        <v>0</v>
      </c>
      <c r="M76" s="238">
        <f t="shared" si="30"/>
        <v>0</v>
      </c>
      <c r="N76" s="238">
        <f t="shared" si="30"/>
        <v>0</v>
      </c>
      <c r="O76" s="238">
        <f t="shared" si="30"/>
        <v>0</v>
      </c>
      <c r="P76" s="238">
        <f t="shared" si="30"/>
        <v>0</v>
      </c>
      <c r="Q76" s="238">
        <f t="shared" si="30"/>
        <v>0</v>
      </c>
      <c r="R76" s="238">
        <f>SUM(R71:R75)</f>
        <v>4197066</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736144</v>
      </c>
      <c r="C78" s="239">
        <v>736144</v>
      </c>
      <c r="D78" s="239"/>
      <c r="E78" s="239">
        <f t="shared" ref="E78:E79" si="31">+C78-SUM(F78:J78)</f>
        <v>736144</v>
      </c>
      <c r="F78" s="239"/>
      <c r="G78" s="239"/>
      <c r="H78" s="239"/>
      <c r="I78" s="239"/>
      <c r="J78" s="239"/>
      <c r="K78" s="239"/>
      <c r="L78" s="239"/>
      <c r="M78" s="239"/>
      <c r="N78" s="239"/>
      <c r="O78" s="239"/>
      <c r="P78" s="239"/>
      <c r="Q78" s="239"/>
      <c r="R78" s="239">
        <f>SUM(E78:Q78)</f>
        <v>736144</v>
      </c>
      <c r="S78" s="239">
        <f t="shared" ref="S78:S79" si="32">+R78</f>
        <v>736144</v>
      </c>
      <c r="T78" s="239"/>
      <c r="U78" s="235"/>
    </row>
    <row r="79" spans="1:21" s="236" customFormat="1">
      <c r="A79" s="237" t="s">
        <v>538</v>
      </c>
      <c r="B79" s="238">
        <f>SUM(C79+D79)</f>
        <v>181924</v>
      </c>
      <c r="C79" s="239">
        <v>181924</v>
      </c>
      <c r="D79" s="239"/>
      <c r="E79" s="239">
        <f t="shared" si="31"/>
        <v>0</v>
      </c>
      <c r="F79" s="239">
        <v>181924</v>
      </c>
      <c r="G79" s="239"/>
      <c r="H79" s="239"/>
      <c r="I79" s="239"/>
      <c r="J79" s="239"/>
      <c r="K79" s="239"/>
      <c r="L79" s="239"/>
      <c r="M79" s="239"/>
      <c r="N79" s="239"/>
      <c r="O79" s="239"/>
      <c r="P79" s="239"/>
      <c r="Q79" s="239"/>
      <c r="R79" s="239">
        <f>SUM(E79:Q79)</f>
        <v>181924</v>
      </c>
      <c r="S79" s="239">
        <f t="shared" si="32"/>
        <v>181924</v>
      </c>
      <c r="T79" s="239"/>
      <c r="U79" s="235"/>
    </row>
    <row r="80" spans="1:21" s="236" customFormat="1">
      <c r="A80" s="241" t="s">
        <v>1734</v>
      </c>
      <c r="B80" s="238">
        <f>SUM(C80:D80)</f>
        <v>918068</v>
      </c>
      <c r="C80" s="663">
        <f>SUM(C78:C79)</f>
        <v>918068</v>
      </c>
      <c r="D80" s="663">
        <f t="shared" ref="D80:R80" si="33">SUM(D78:D79)</f>
        <v>0</v>
      </c>
      <c r="E80" s="663">
        <f t="shared" si="33"/>
        <v>736144</v>
      </c>
      <c r="F80" s="663">
        <f t="shared" si="33"/>
        <v>181924</v>
      </c>
      <c r="G80" s="663">
        <f t="shared" si="33"/>
        <v>0</v>
      </c>
      <c r="H80" s="663">
        <f t="shared" si="33"/>
        <v>0</v>
      </c>
      <c r="I80" s="663">
        <f t="shared" si="33"/>
        <v>0</v>
      </c>
      <c r="J80" s="663">
        <f t="shared" si="33"/>
        <v>0</v>
      </c>
      <c r="K80" s="663">
        <f t="shared" si="33"/>
        <v>0</v>
      </c>
      <c r="L80" s="663">
        <f t="shared" si="33"/>
        <v>0</v>
      </c>
      <c r="M80" s="663">
        <f t="shared" si="33"/>
        <v>0</v>
      </c>
      <c r="N80" s="663">
        <f t="shared" si="33"/>
        <v>0</v>
      </c>
      <c r="O80" s="663">
        <f t="shared" si="33"/>
        <v>0</v>
      </c>
      <c r="P80" s="663">
        <f t="shared" si="33"/>
        <v>0</v>
      </c>
      <c r="Q80" s="663">
        <f t="shared" si="33"/>
        <v>0</v>
      </c>
      <c r="R80" s="663">
        <f t="shared" si="33"/>
        <v>918068</v>
      </c>
      <c r="S80" s="663">
        <f>SUM(S78:S79)</f>
        <v>918068</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69844</v>
      </c>
      <c r="C82" s="239">
        <v>69844</v>
      </c>
      <c r="D82" s="239"/>
      <c r="E82" s="239">
        <f t="shared" ref="E82:E94" si="34">+C82-SUM(F82:J82)</f>
        <v>0</v>
      </c>
      <c r="F82" s="239">
        <v>69844</v>
      </c>
      <c r="G82" s="239"/>
      <c r="H82" s="239"/>
      <c r="I82" s="239"/>
      <c r="J82" s="239"/>
      <c r="K82" s="239"/>
      <c r="L82" s="239"/>
      <c r="M82" s="239"/>
      <c r="N82" s="239"/>
      <c r="O82" s="239"/>
      <c r="P82" s="239"/>
      <c r="Q82" s="239"/>
      <c r="R82" s="239">
        <f>SUM(E82:Q82)</f>
        <v>69844</v>
      </c>
      <c r="S82" s="240"/>
      <c r="T82" s="240"/>
      <c r="U82" s="235"/>
    </row>
    <row r="83" spans="1:21" s="236" customFormat="1">
      <c r="A83" s="237" t="s">
        <v>516</v>
      </c>
      <c r="B83" s="238">
        <f t="shared" ref="B83:B93" si="35">SUM(C83+D83)</f>
        <v>7000</v>
      </c>
      <c r="C83" s="239">
        <v>7000</v>
      </c>
      <c r="D83" s="239"/>
      <c r="E83" s="239">
        <f t="shared" si="34"/>
        <v>0</v>
      </c>
      <c r="F83" s="239">
        <v>7000</v>
      </c>
      <c r="G83" s="239"/>
      <c r="H83" s="239"/>
      <c r="I83" s="239"/>
      <c r="J83" s="239"/>
      <c r="K83" s="239"/>
      <c r="L83" s="239"/>
      <c r="M83" s="239"/>
      <c r="N83" s="239"/>
      <c r="O83" s="239"/>
      <c r="P83" s="239"/>
      <c r="Q83" s="239"/>
      <c r="R83" s="239">
        <f t="shared" ref="R83:R93" si="36">SUM(E83:Q83)</f>
        <v>7000</v>
      </c>
      <c r="S83" s="239">
        <f t="shared" ref="S83:S86" si="37">+R83</f>
        <v>7000</v>
      </c>
      <c r="T83" s="239"/>
      <c r="U83" s="235"/>
    </row>
    <row r="84" spans="1:21" s="236" customFormat="1">
      <c r="A84" s="237" t="s">
        <v>517</v>
      </c>
      <c r="B84" s="238">
        <f t="shared" si="35"/>
        <v>1660913</v>
      </c>
      <c r="C84" s="239">
        <v>1660913</v>
      </c>
      <c r="D84" s="239"/>
      <c r="E84" s="239">
        <f t="shared" si="34"/>
        <v>0</v>
      </c>
      <c r="F84" s="239">
        <v>1660913</v>
      </c>
      <c r="G84" s="239"/>
      <c r="H84" s="239"/>
      <c r="I84" s="239"/>
      <c r="J84" s="239"/>
      <c r="K84" s="239"/>
      <c r="L84" s="239"/>
      <c r="M84" s="239"/>
      <c r="N84" s="239"/>
      <c r="O84" s="239"/>
      <c r="P84" s="239"/>
      <c r="Q84" s="239"/>
      <c r="R84" s="239">
        <f t="shared" si="36"/>
        <v>1660913</v>
      </c>
      <c r="S84" s="239">
        <f t="shared" si="37"/>
        <v>1660913</v>
      </c>
      <c r="T84" s="239"/>
      <c r="U84" s="235"/>
    </row>
    <row r="85" spans="1:21" s="236" customFormat="1">
      <c r="A85" s="237" t="s">
        <v>518</v>
      </c>
      <c r="B85" s="238">
        <f t="shared" si="35"/>
        <v>659999</v>
      </c>
      <c r="C85" s="239">
        <v>659999</v>
      </c>
      <c r="D85" s="239"/>
      <c r="E85" s="239">
        <f t="shared" si="34"/>
        <v>559999</v>
      </c>
      <c r="F85" s="239">
        <v>100000</v>
      </c>
      <c r="G85" s="239"/>
      <c r="H85" s="239"/>
      <c r="I85" s="239"/>
      <c r="J85" s="239"/>
      <c r="K85" s="239"/>
      <c r="L85" s="239"/>
      <c r="M85" s="239"/>
      <c r="N85" s="239"/>
      <c r="O85" s="239"/>
      <c r="P85" s="239"/>
      <c r="Q85" s="239"/>
      <c r="R85" s="239">
        <f t="shared" si="36"/>
        <v>659999</v>
      </c>
      <c r="S85" s="239">
        <f t="shared" si="37"/>
        <v>659999</v>
      </c>
      <c r="T85" s="239"/>
      <c r="U85" s="235"/>
    </row>
    <row r="86" spans="1:21" s="236" customFormat="1">
      <c r="A86" s="237" t="s">
        <v>519</v>
      </c>
      <c r="B86" s="238">
        <f t="shared" si="35"/>
        <v>40000</v>
      </c>
      <c r="C86" s="239">
        <v>40000</v>
      </c>
      <c r="D86" s="239"/>
      <c r="E86" s="239">
        <f t="shared" si="34"/>
        <v>0</v>
      </c>
      <c r="F86" s="239">
        <v>40000</v>
      </c>
      <c r="G86" s="239"/>
      <c r="H86" s="239"/>
      <c r="I86" s="239"/>
      <c r="J86" s="239"/>
      <c r="K86" s="239"/>
      <c r="L86" s="239"/>
      <c r="M86" s="239"/>
      <c r="N86" s="239"/>
      <c r="O86" s="239"/>
      <c r="P86" s="239"/>
      <c r="Q86" s="239"/>
      <c r="R86" s="239">
        <f t="shared" si="36"/>
        <v>40000</v>
      </c>
      <c r="S86" s="239">
        <f t="shared" si="37"/>
        <v>40000</v>
      </c>
      <c r="T86" s="239"/>
      <c r="U86" s="235"/>
    </row>
    <row r="87" spans="1:21" s="236" customFormat="1">
      <c r="A87" s="237" t="s">
        <v>520</v>
      </c>
      <c r="B87" s="238">
        <f t="shared" si="35"/>
        <v>229490</v>
      </c>
      <c r="C87" s="239">
        <v>229490</v>
      </c>
      <c r="D87" s="239"/>
      <c r="E87" s="239">
        <f t="shared" si="34"/>
        <v>0</v>
      </c>
      <c r="F87" s="239">
        <v>229490</v>
      </c>
      <c r="G87" s="239"/>
      <c r="H87" s="239"/>
      <c r="I87" s="239"/>
      <c r="J87" s="239"/>
      <c r="K87" s="239"/>
      <c r="L87" s="239"/>
      <c r="M87" s="239"/>
      <c r="N87" s="239"/>
      <c r="O87" s="239"/>
      <c r="P87" s="239"/>
      <c r="Q87" s="239"/>
      <c r="R87" s="239">
        <f t="shared" si="36"/>
        <v>229490</v>
      </c>
      <c r="S87" s="240"/>
      <c r="T87" s="240"/>
      <c r="U87" s="235"/>
    </row>
    <row r="88" spans="1:21" s="236" customFormat="1">
      <c r="A88" s="237" t="s">
        <v>521</v>
      </c>
      <c r="B88" s="238">
        <f t="shared" si="35"/>
        <v>40000</v>
      </c>
      <c r="C88" s="239">
        <v>40000</v>
      </c>
      <c r="D88" s="239"/>
      <c r="E88" s="239">
        <f t="shared" si="34"/>
        <v>0</v>
      </c>
      <c r="F88" s="239">
        <v>40000</v>
      </c>
      <c r="G88" s="239"/>
      <c r="H88" s="239"/>
      <c r="I88" s="239"/>
      <c r="J88" s="239"/>
      <c r="K88" s="239"/>
      <c r="L88" s="239"/>
      <c r="M88" s="239"/>
      <c r="N88" s="239"/>
      <c r="O88" s="239"/>
      <c r="P88" s="239"/>
      <c r="Q88" s="239"/>
      <c r="R88" s="239">
        <f t="shared" si="36"/>
        <v>40000</v>
      </c>
      <c r="S88" s="239">
        <f t="shared" ref="S88:S94" si="38">+R88</f>
        <v>40000</v>
      </c>
      <c r="T88" s="239"/>
      <c r="U88" s="235"/>
    </row>
    <row r="89" spans="1:21" s="236" customFormat="1">
      <c r="A89" s="237" t="s">
        <v>522</v>
      </c>
      <c r="B89" s="238">
        <f t="shared" si="35"/>
        <v>10000</v>
      </c>
      <c r="C89" s="239">
        <v>10000</v>
      </c>
      <c r="D89" s="239"/>
      <c r="E89" s="239">
        <f t="shared" si="34"/>
        <v>0</v>
      </c>
      <c r="F89" s="239">
        <v>10000</v>
      </c>
      <c r="G89" s="239"/>
      <c r="H89" s="239"/>
      <c r="I89" s="239"/>
      <c r="J89" s="239"/>
      <c r="K89" s="239"/>
      <c r="L89" s="239"/>
      <c r="M89" s="239"/>
      <c r="N89" s="239"/>
      <c r="O89" s="239"/>
      <c r="P89" s="239"/>
      <c r="Q89" s="239"/>
      <c r="R89" s="239">
        <f t="shared" si="36"/>
        <v>10000</v>
      </c>
      <c r="S89" s="239">
        <f t="shared" si="38"/>
        <v>10000</v>
      </c>
      <c r="T89" s="239"/>
      <c r="U89" s="235"/>
    </row>
    <row r="90" spans="1:21" s="236" customFormat="1">
      <c r="A90" s="248" t="s">
        <v>1315</v>
      </c>
      <c r="B90" s="238">
        <f t="shared" si="35"/>
        <v>45000</v>
      </c>
      <c r="C90" s="239">
        <v>45000</v>
      </c>
      <c r="D90" s="239"/>
      <c r="E90" s="239">
        <f t="shared" si="34"/>
        <v>0</v>
      </c>
      <c r="F90" s="239">
        <v>45000</v>
      </c>
      <c r="G90" s="239"/>
      <c r="H90" s="239"/>
      <c r="I90" s="239"/>
      <c r="J90" s="239"/>
      <c r="K90" s="239"/>
      <c r="L90" s="239"/>
      <c r="M90" s="239"/>
      <c r="N90" s="239"/>
      <c r="O90" s="239"/>
      <c r="P90" s="239"/>
      <c r="Q90" s="239"/>
      <c r="R90" s="239">
        <f t="shared" si="36"/>
        <v>45000</v>
      </c>
      <c r="S90" s="239">
        <f t="shared" si="38"/>
        <v>45000</v>
      </c>
      <c r="T90" s="239"/>
      <c r="U90" s="235"/>
    </row>
    <row r="91" spans="1:21" s="236" customFormat="1">
      <c r="A91" s="248" t="s">
        <v>1732</v>
      </c>
      <c r="B91" s="238">
        <f t="shared" si="35"/>
        <v>7500</v>
      </c>
      <c r="C91" s="239">
        <v>7500</v>
      </c>
      <c r="D91" s="239"/>
      <c r="E91" s="239">
        <f t="shared" si="34"/>
        <v>0</v>
      </c>
      <c r="F91" s="239">
        <v>7500</v>
      </c>
      <c r="G91" s="239"/>
      <c r="H91" s="239"/>
      <c r="I91" s="239"/>
      <c r="J91" s="239"/>
      <c r="K91" s="239"/>
      <c r="L91" s="239"/>
      <c r="M91" s="239"/>
      <c r="N91" s="239"/>
      <c r="O91" s="239"/>
      <c r="P91" s="239"/>
      <c r="Q91" s="239"/>
      <c r="R91" s="239">
        <f t="shared" si="36"/>
        <v>7500</v>
      </c>
      <c r="S91" s="239">
        <f t="shared" si="38"/>
        <v>7500</v>
      </c>
      <c r="T91" s="239"/>
      <c r="U91" s="235"/>
    </row>
    <row r="92" spans="1:21" s="236" customFormat="1">
      <c r="A92" s="244" t="s">
        <v>2465</v>
      </c>
      <c r="B92" s="238">
        <f t="shared" si="35"/>
        <v>125000</v>
      </c>
      <c r="C92" s="239">
        <v>125000</v>
      </c>
      <c r="D92" s="239"/>
      <c r="E92" s="239">
        <f t="shared" si="34"/>
        <v>0</v>
      </c>
      <c r="F92" s="239">
        <v>125000</v>
      </c>
      <c r="G92" s="239"/>
      <c r="H92" s="239"/>
      <c r="I92" s="239"/>
      <c r="J92" s="239"/>
      <c r="K92" s="239"/>
      <c r="L92" s="239"/>
      <c r="M92" s="239"/>
      <c r="N92" s="239"/>
      <c r="O92" s="239"/>
      <c r="P92" s="239"/>
      <c r="Q92" s="239"/>
      <c r="R92" s="239">
        <f t="shared" si="36"/>
        <v>125000</v>
      </c>
      <c r="S92" s="239">
        <f t="shared" si="38"/>
        <v>125000</v>
      </c>
      <c r="T92" s="239"/>
      <c r="U92" s="235"/>
    </row>
    <row r="93" spans="1:21" s="236" customFormat="1">
      <c r="A93" s="244" t="s">
        <v>2466</v>
      </c>
      <c r="B93" s="238">
        <f t="shared" si="35"/>
        <v>250000</v>
      </c>
      <c r="C93" s="239">
        <v>250000</v>
      </c>
      <c r="D93" s="239"/>
      <c r="E93" s="239">
        <f t="shared" si="34"/>
        <v>0</v>
      </c>
      <c r="F93" s="239">
        <v>250000</v>
      </c>
      <c r="G93" s="239"/>
      <c r="H93" s="239"/>
      <c r="I93" s="239"/>
      <c r="J93" s="239"/>
      <c r="K93" s="239"/>
      <c r="L93" s="239"/>
      <c r="M93" s="239"/>
      <c r="N93" s="239"/>
      <c r="O93" s="239"/>
      <c r="P93" s="239"/>
      <c r="Q93" s="239"/>
      <c r="R93" s="239">
        <f t="shared" si="36"/>
        <v>250000</v>
      </c>
      <c r="S93" s="239">
        <f t="shared" si="38"/>
        <v>250000</v>
      </c>
      <c r="T93" s="239"/>
      <c r="U93" s="235"/>
    </row>
    <row r="94" spans="1:21" s="236" customFormat="1">
      <c r="A94" s="244" t="s">
        <v>533</v>
      </c>
      <c r="B94" s="238">
        <f>SUM(C94+D94)</f>
        <v>0</v>
      </c>
      <c r="C94" s="239"/>
      <c r="D94" s="239"/>
      <c r="E94" s="239">
        <f t="shared" si="34"/>
        <v>0</v>
      </c>
      <c r="F94" s="239"/>
      <c r="G94" s="239"/>
      <c r="H94" s="239"/>
      <c r="I94" s="239"/>
      <c r="J94" s="239"/>
      <c r="K94" s="239"/>
      <c r="L94" s="239"/>
      <c r="M94" s="239"/>
      <c r="N94" s="239"/>
      <c r="O94" s="239"/>
      <c r="P94" s="239"/>
      <c r="Q94" s="239"/>
      <c r="R94" s="239">
        <f>SUM(E94:Q94)</f>
        <v>0</v>
      </c>
      <c r="S94" s="239">
        <f t="shared" si="38"/>
        <v>0</v>
      </c>
      <c r="T94" s="239"/>
      <c r="U94" s="235"/>
    </row>
    <row r="95" spans="1:21" s="236" customFormat="1">
      <c r="A95" s="241" t="s">
        <v>523</v>
      </c>
      <c r="B95" s="238">
        <f>SUM(C95:D95)</f>
        <v>3144746</v>
      </c>
      <c r="C95" s="238">
        <f t="shared" ref="C95:R95" si="39">SUM(C82:C94)</f>
        <v>3144746</v>
      </c>
      <c r="D95" s="238">
        <f t="shared" si="39"/>
        <v>0</v>
      </c>
      <c r="E95" s="238">
        <f t="shared" si="39"/>
        <v>559999</v>
      </c>
      <c r="F95" s="238">
        <f t="shared" si="39"/>
        <v>2584747</v>
      </c>
      <c r="G95" s="238">
        <f t="shared" si="39"/>
        <v>0</v>
      </c>
      <c r="H95" s="238">
        <f t="shared" si="39"/>
        <v>0</v>
      </c>
      <c r="I95" s="238">
        <f t="shared" si="39"/>
        <v>0</v>
      </c>
      <c r="J95" s="238">
        <f t="shared" si="39"/>
        <v>0</v>
      </c>
      <c r="K95" s="238">
        <f t="shared" si="39"/>
        <v>0</v>
      </c>
      <c r="L95" s="238">
        <f t="shared" si="39"/>
        <v>0</v>
      </c>
      <c r="M95" s="238">
        <f t="shared" si="39"/>
        <v>0</v>
      </c>
      <c r="N95" s="238">
        <f t="shared" si="39"/>
        <v>0</v>
      </c>
      <c r="O95" s="238">
        <f t="shared" si="39"/>
        <v>0</v>
      </c>
      <c r="P95" s="238">
        <f t="shared" si="39"/>
        <v>0</v>
      </c>
      <c r="Q95" s="238">
        <f t="shared" si="39"/>
        <v>0</v>
      </c>
      <c r="R95" s="238">
        <f t="shared" si="39"/>
        <v>3144746</v>
      </c>
      <c r="S95" s="242">
        <f>SUM(S83:S86,S88:S94)</f>
        <v>2845412</v>
      </c>
      <c r="T95" s="238">
        <f>SUM(T83:T86,T88:T94)</f>
        <v>0</v>
      </c>
      <c r="U95" s="235"/>
    </row>
    <row r="96" spans="1:21" s="236" customFormat="1">
      <c r="A96" s="241" t="s">
        <v>524</v>
      </c>
      <c r="B96" s="238">
        <f>SUM(C96:D96)</f>
        <v>26175770</v>
      </c>
      <c r="C96" s="238">
        <f t="shared" ref="C96:R96" si="40">SUM(C62+C69+C76+C80+C95)</f>
        <v>26175770</v>
      </c>
      <c r="D96" s="238">
        <f t="shared" si="40"/>
        <v>0</v>
      </c>
      <c r="E96" s="238">
        <f t="shared" si="40"/>
        <v>11393607</v>
      </c>
      <c r="F96" s="238">
        <f t="shared" si="40"/>
        <v>2911671</v>
      </c>
      <c r="G96" s="238">
        <f t="shared" si="40"/>
        <v>4077205</v>
      </c>
      <c r="H96" s="238">
        <f t="shared" si="40"/>
        <v>212399</v>
      </c>
      <c r="I96" s="238">
        <f t="shared" si="40"/>
        <v>7580888</v>
      </c>
      <c r="J96" s="238">
        <f t="shared" si="40"/>
        <v>0</v>
      </c>
      <c r="K96" s="238">
        <f t="shared" si="40"/>
        <v>0</v>
      </c>
      <c r="L96" s="238">
        <f t="shared" si="40"/>
        <v>0</v>
      </c>
      <c r="M96" s="238">
        <f t="shared" si="40"/>
        <v>0</v>
      </c>
      <c r="N96" s="238">
        <f t="shared" si="40"/>
        <v>0</v>
      </c>
      <c r="O96" s="238">
        <f t="shared" si="40"/>
        <v>0</v>
      </c>
      <c r="P96" s="238">
        <f t="shared" si="40"/>
        <v>0</v>
      </c>
      <c r="Q96" s="238">
        <f t="shared" si="40"/>
        <v>0</v>
      </c>
      <c r="R96" s="238">
        <f t="shared" si="40"/>
        <v>26175770</v>
      </c>
      <c r="S96" s="242">
        <f>SUM(+S62+S69+S80+S95)</f>
        <v>20511129</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1840000</v>
      </c>
      <c r="C98" s="239">
        <v>1840000</v>
      </c>
      <c r="D98" s="239"/>
      <c r="E98" s="239">
        <v>639561</v>
      </c>
      <c r="F98" s="239">
        <f>4112110-2911671</f>
        <v>1200439</v>
      </c>
      <c r="G98" s="239"/>
      <c r="H98" s="239"/>
      <c r="I98" s="239"/>
      <c r="J98" s="239"/>
      <c r="K98" s="239"/>
      <c r="L98" s="239"/>
      <c r="M98" s="239"/>
      <c r="N98" s="239"/>
      <c r="O98" s="239"/>
      <c r="P98" s="239"/>
      <c r="Q98" s="239"/>
      <c r="R98" s="239">
        <f>SUM(E98:Q98)</f>
        <v>1840000</v>
      </c>
      <c r="S98" s="239">
        <f>+R98</f>
        <v>1840000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1840000</v>
      </c>
      <c r="C103" s="238">
        <f t="shared" ref="C103:T103" si="41">SUM(C98:C102)</f>
        <v>1840000</v>
      </c>
      <c r="D103" s="238">
        <f t="shared" si="41"/>
        <v>0</v>
      </c>
      <c r="E103" s="238">
        <f t="shared" si="41"/>
        <v>639561</v>
      </c>
      <c r="F103" s="238">
        <f t="shared" si="41"/>
        <v>1200439</v>
      </c>
      <c r="G103" s="238">
        <f t="shared" si="41"/>
        <v>0</v>
      </c>
      <c r="H103" s="238">
        <f t="shared" si="41"/>
        <v>0</v>
      </c>
      <c r="I103" s="238">
        <f t="shared" si="41"/>
        <v>0</v>
      </c>
      <c r="J103" s="238">
        <f t="shared" si="41"/>
        <v>0</v>
      </c>
      <c r="K103" s="238">
        <f t="shared" si="41"/>
        <v>0</v>
      </c>
      <c r="L103" s="238">
        <f t="shared" si="41"/>
        <v>0</v>
      </c>
      <c r="M103" s="238">
        <f t="shared" si="41"/>
        <v>0</v>
      </c>
      <c r="N103" s="238">
        <f t="shared" si="41"/>
        <v>0</v>
      </c>
      <c r="O103" s="238">
        <f t="shared" si="41"/>
        <v>0</v>
      </c>
      <c r="P103" s="238">
        <f t="shared" si="41"/>
        <v>0</v>
      </c>
      <c r="Q103" s="238">
        <f t="shared" si="41"/>
        <v>0</v>
      </c>
      <c r="R103" s="238">
        <f t="shared" si="41"/>
        <v>1840000</v>
      </c>
      <c r="S103" s="242">
        <f t="shared" si="41"/>
        <v>1840000</v>
      </c>
      <c r="T103" s="242">
        <f t="shared" si="41"/>
        <v>0</v>
      </c>
      <c r="U103" s="235"/>
    </row>
    <row r="104" spans="1:21" s="236" customFormat="1">
      <c r="A104" s="241" t="s">
        <v>1156</v>
      </c>
      <c r="B104" s="242">
        <f>SUM(C104:D104)</f>
        <v>28015770</v>
      </c>
      <c r="C104" s="242">
        <f t="shared" ref="C104:R104" si="42">SUM(C96+C103)</f>
        <v>28015770</v>
      </c>
      <c r="D104" s="242">
        <f t="shared" si="42"/>
        <v>0</v>
      </c>
      <c r="E104" s="242">
        <f t="shared" si="42"/>
        <v>12033168</v>
      </c>
      <c r="F104" s="242">
        <f t="shared" si="42"/>
        <v>4112110</v>
      </c>
      <c r="G104" s="242">
        <f t="shared" si="42"/>
        <v>4077205</v>
      </c>
      <c r="H104" s="242">
        <f t="shared" si="42"/>
        <v>212399</v>
      </c>
      <c r="I104" s="242">
        <f t="shared" si="42"/>
        <v>7580888</v>
      </c>
      <c r="J104" s="242">
        <f t="shared" si="42"/>
        <v>0</v>
      </c>
      <c r="K104" s="242">
        <f t="shared" si="42"/>
        <v>0</v>
      </c>
      <c r="L104" s="242">
        <f t="shared" si="42"/>
        <v>0</v>
      </c>
      <c r="M104" s="242">
        <f t="shared" si="42"/>
        <v>0</v>
      </c>
      <c r="N104" s="242">
        <f t="shared" si="42"/>
        <v>0</v>
      </c>
      <c r="O104" s="242">
        <f t="shared" si="42"/>
        <v>0</v>
      </c>
      <c r="P104" s="242">
        <f t="shared" si="42"/>
        <v>0</v>
      </c>
      <c r="Q104" s="242">
        <f t="shared" si="42"/>
        <v>0</v>
      </c>
      <c r="R104" s="238">
        <f t="shared" si="42"/>
        <v>28015770</v>
      </c>
      <c r="S104" s="242">
        <f>S96+S103</f>
        <v>22351129</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22351129</v>
      </c>
      <c r="T106" s="242">
        <f>T104+T105</f>
        <v>0</v>
      </c>
      <c r="U106" s="254"/>
    </row>
    <row r="107" spans="1:21" s="256" customFormat="1">
      <c r="A107" s="255" t="s">
        <v>1107</v>
      </c>
      <c r="B107" s="250"/>
      <c r="C107" s="250"/>
      <c r="D107" s="250"/>
      <c r="E107" s="238">
        <f>Application!AO642</f>
        <v>12033168</v>
      </c>
      <c r="F107" s="238">
        <f>Application!AO629</f>
        <v>4112110</v>
      </c>
      <c r="G107" s="238">
        <f>Application!AO630</f>
        <v>4077205</v>
      </c>
      <c r="H107" s="238">
        <f>Application!AO631</f>
        <v>212399</v>
      </c>
      <c r="I107" s="238">
        <f>Application!AO632</f>
        <v>7580888</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615" t="s">
        <v>1291</v>
      </c>
      <c r="E122" s="1615"/>
      <c r="F122" s="1615"/>
      <c r="U122" s="254"/>
    </row>
    <row r="123" spans="1:21" s="251" customFormat="1">
      <c r="A123" s="251" t="s">
        <v>1292</v>
      </c>
      <c r="B123" s="543"/>
      <c r="D123" s="1608" t="s">
        <v>1316</v>
      </c>
      <c r="E123" s="1605"/>
      <c r="F123" s="1605"/>
      <c r="G123" s="1605"/>
      <c r="H123" s="1605"/>
      <c r="I123" s="1605"/>
      <c r="J123" s="1605"/>
      <c r="K123" s="1605"/>
      <c r="L123" s="1605"/>
      <c r="M123" s="1605"/>
      <c r="N123" s="1605"/>
      <c r="O123" s="1605"/>
      <c r="P123" s="1605"/>
      <c r="Q123" s="1605"/>
      <c r="R123" s="1605"/>
      <c r="S123" s="1605"/>
      <c r="U123" s="254"/>
    </row>
    <row r="124" spans="1:21" s="251" customFormat="1" ht="12.75">
      <c r="A124" s="207" t="s">
        <v>1293</v>
      </c>
      <c r="B124" s="543"/>
      <c r="C124" s="207"/>
      <c r="D124" s="1605"/>
      <c r="E124" s="1605"/>
      <c r="F124" s="1605"/>
      <c r="G124" s="1605"/>
      <c r="H124" s="1605"/>
      <c r="I124" s="1605"/>
      <c r="J124" s="1605"/>
      <c r="K124" s="1605"/>
      <c r="L124" s="1605"/>
      <c r="M124" s="1605"/>
      <c r="N124" s="1605"/>
      <c r="O124" s="1605"/>
      <c r="P124" s="1605"/>
      <c r="Q124" s="1605"/>
      <c r="R124" s="1605"/>
      <c r="S124" s="1605"/>
      <c r="U124" s="254"/>
    </row>
    <row r="125" spans="1:21" s="251" customFormat="1" ht="12.75">
      <c r="A125" s="207" t="s">
        <v>1294</v>
      </c>
      <c r="B125" s="543"/>
      <c r="C125" s="207"/>
      <c r="D125" s="1605"/>
      <c r="E125" s="1605"/>
      <c r="F125" s="1605"/>
      <c r="G125" s="1605"/>
      <c r="H125" s="1605"/>
      <c r="I125" s="1605"/>
      <c r="J125" s="1605"/>
      <c r="K125" s="1605"/>
      <c r="L125" s="1605"/>
      <c r="M125" s="1605"/>
      <c r="N125" s="1605"/>
      <c r="O125" s="1605"/>
      <c r="P125" s="1605"/>
      <c r="Q125" s="1605"/>
      <c r="R125" s="1605"/>
      <c r="S125" s="1605"/>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610"/>
      <c r="E128" s="1610"/>
      <c r="F128" s="1610"/>
      <c r="G128" s="1610"/>
      <c r="H128" s="1610"/>
      <c r="I128" s="207"/>
      <c r="J128" s="1607"/>
      <c r="K128" s="1607"/>
      <c r="L128" s="207"/>
      <c r="M128" s="207"/>
      <c r="N128" s="207"/>
      <c r="O128" s="207"/>
      <c r="P128" s="207"/>
      <c r="Q128" s="207"/>
      <c r="R128" s="207"/>
      <c r="S128" s="207"/>
      <c r="U128" s="254"/>
    </row>
    <row r="129" spans="1:21" s="251" customFormat="1" ht="12.75">
      <c r="A129" s="207" t="s">
        <v>499</v>
      </c>
      <c r="B129" s="543"/>
      <c r="C129" s="207"/>
      <c r="D129" s="1614" t="s">
        <v>1298</v>
      </c>
      <c r="E129" s="1614"/>
      <c r="F129" s="1614"/>
      <c r="G129" s="1614"/>
      <c r="H129" s="1614"/>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589"/>
      <c r="E131" s="1589"/>
      <c r="F131" s="1589"/>
      <c r="G131" s="1589"/>
      <c r="H131" s="1589"/>
      <c r="I131" s="207"/>
      <c r="J131" s="1589"/>
      <c r="K131" s="1589"/>
      <c r="L131" s="1589"/>
      <c r="M131" s="1589"/>
      <c r="N131" s="207"/>
      <c r="O131" s="207"/>
      <c r="P131" s="207"/>
      <c r="Q131" s="207"/>
      <c r="R131" s="207"/>
      <c r="S131" s="207"/>
      <c r="U131" s="254"/>
    </row>
    <row r="132" spans="1:21" s="251" customFormat="1" ht="12.75">
      <c r="A132" s="545"/>
      <c r="B132" s="207"/>
      <c r="C132" s="207"/>
      <c r="D132" s="1604" t="s">
        <v>1301</v>
      </c>
      <c r="E132" s="1604"/>
      <c r="F132" s="1604"/>
      <c r="G132" s="1604"/>
      <c r="H132" s="1604"/>
      <c r="I132" s="207"/>
      <c r="J132" s="1604" t="s">
        <v>1302</v>
      </c>
      <c r="K132" s="1604"/>
      <c r="L132" s="1604"/>
      <c r="M132" s="1604"/>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9"/>
      <c r="B138" s="1610"/>
      <c r="C138" s="1610"/>
      <c r="D138" s="349"/>
      <c r="E138" s="1607"/>
      <c r="F138" s="1607"/>
      <c r="G138" s="207"/>
      <c r="H138" s="207"/>
      <c r="I138" s="207"/>
      <c r="J138" s="207"/>
      <c r="K138" s="207"/>
      <c r="L138" s="207"/>
      <c r="M138" s="207"/>
      <c r="N138" s="207"/>
      <c r="O138" s="207"/>
      <c r="P138" s="207"/>
      <c r="Q138" s="207"/>
      <c r="R138" s="207"/>
      <c r="S138" s="207"/>
    </row>
    <row r="139" spans="1:21" ht="12" customHeight="1">
      <c r="A139" s="1606" t="s">
        <v>1304</v>
      </c>
      <c r="B139" s="1606"/>
      <c r="C139" s="1606"/>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9"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49" t="s">
        <v>1738</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c r="AN1" s="1650"/>
    </row>
    <row r="2" spans="1:40" ht="12.95" customHeight="1" thickBot="1">
      <c r="A2" s="1651"/>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35" t="str">
        <f>IF(T25=100%,'Sources and Basis Breakdown'!G2,'Sources and Basis Breakdown'!F2)</f>
        <v>70% PVC for New Const/
Rehabilitation
DDA/QCT
Building(s)</v>
      </c>
      <c r="U7" s="1635"/>
      <c r="V7" s="1635"/>
      <c r="W7" s="1635"/>
      <c r="X7" s="1635"/>
      <c r="Y7" s="1635" t="str">
        <f>IF(T25=100%,"",'Sources and Basis Breakdown'!G2)</f>
        <v>70% PVC for New Const/
Rehabilitation
NON-DDA/
NON-QCT Building(s)</v>
      </c>
      <c r="Z7" s="1635"/>
      <c r="AA7" s="1635"/>
      <c r="AB7" s="1635"/>
      <c r="AC7" s="1635"/>
      <c r="AD7" s="1635" t="str">
        <f>IF(T25=100%,'Sources and Basis Breakdown'!J2,'Sources and Basis Breakdown'!I2)</f>
        <v>30% PVC for Acquisition
DDA/QCT Building(s)</v>
      </c>
      <c r="AE7" s="1635"/>
      <c r="AF7" s="1635"/>
      <c r="AG7" s="1635"/>
      <c r="AH7" s="1635"/>
      <c r="AI7" s="1635" t="str">
        <f>IF(T25=100%,"",'Sources and Basis Breakdown'!J2)</f>
        <v>30% PVC for Acquisition
NON-DDA/
NON-QCT Building(s)</v>
      </c>
      <c r="AJ7" s="1635"/>
      <c r="AK7" s="1635"/>
      <c r="AL7" s="1635"/>
      <c r="AM7" s="1635"/>
    </row>
    <row r="8" spans="1:40" ht="12.95" customHeight="1">
      <c r="B8" s="202"/>
      <c r="T8" s="1635"/>
      <c r="U8" s="1635"/>
      <c r="V8" s="1635"/>
      <c r="W8" s="1635"/>
      <c r="X8" s="1635"/>
      <c r="Y8" s="1635"/>
      <c r="Z8" s="1635"/>
      <c r="AA8" s="1635"/>
      <c r="AB8" s="1635"/>
      <c r="AC8" s="1635"/>
      <c r="AD8" s="1635"/>
      <c r="AE8" s="1635"/>
      <c r="AF8" s="1635"/>
      <c r="AG8" s="1635"/>
      <c r="AH8" s="1635"/>
      <c r="AI8" s="1635"/>
      <c r="AJ8" s="1635"/>
      <c r="AK8" s="1635"/>
      <c r="AL8" s="1635"/>
      <c r="AM8" s="1635"/>
    </row>
    <row r="9" spans="1:40" ht="12.95" customHeight="1">
      <c r="B9" s="202"/>
      <c r="T9" s="1635"/>
      <c r="U9" s="1635"/>
      <c r="V9" s="1635"/>
      <c r="W9" s="1635"/>
      <c r="X9" s="1635"/>
      <c r="Y9" s="1635"/>
      <c r="Z9" s="1635"/>
      <c r="AA9" s="1635"/>
      <c r="AB9" s="1635"/>
      <c r="AC9" s="1635"/>
      <c r="AD9" s="1635"/>
      <c r="AE9" s="1635"/>
      <c r="AF9" s="1635"/>
      <c r="AG9" s="1635"/>
      <c r="AH9" s="1635"/>
      <c r="AI9" s="1635"/>
      <c r="AJ9" s="1635"/>
      <c r="AK9" s="1635"/>
      <c r="AL9" s="1635"/>
      <c r="AM9" s="1635"/>
    </row>
    <row r="10" spans="1:40" ht="12.95" customHeight="1">
      <c r="B10" s="53"/>
      <c r="C10" s="54"/>
      <c r="D10" s="54"/>
      <c r="E10" s="54"/>
      <c r="F10" s="54"/>
      <c r="G10" s="54"/>
      <c r="H10" s="54"/>
      <c r="I10" s="54"/>
      <c r="J10" s="54"/>
      <c r="K10" s="54"/>
      <c r="L10" s="54"/>
      <c r="M10" s="54"/>
      <c r="N10" s="54"/>
      <c r="O10" s="54"/>
      <c r="P10" s="54"/>
      <c r="Q10" s="54"/>
      <c r="R10" s="54"/>
      <c r="S10" s="54"/>
      <c r="T10" s="1635"/>
      <c r="U10" s="1635"/>
      <c r="V10" s="1635"/>
      <c r="W10" s="1635"/>
      <c r="X10" s="1635"/>
      <c r="Y10" s="1635"/>
      <c r="Z10" s="1635"/>
      <c r="AA10" s="1635"/>
      <c r="AB10" s="1635"/>
      <c r="AC10" s="1635"/>
      <c r="AD10" s="1635"/>
      <c r="AE10" s="1635"/>
      <c r="AF10" s="1635"/>
      <c r="AG10" s="1635"/>
      <c r="AH10" s="1635"/>
      <c r="AI10" s="1635"/>
      <c r="AJ10" s="1635"/>
      <c r="AK10" s="1635"/>
      <c r="AL10" s="1635"/>
      <c r="AM10" s="1635"/>
    </row>
    <row r="11" spans="1:40" ht="12.95" customHeight="1">
      <c r="B11" s="1208" t="s">
        <v>508</v>
      </c>
      <c r="C11" s="1209"/>
      <c r="D11" s="1209"/>
      <c r="E11" s="1209"/>
      <c r="F11" s="1209"/>
      <c r="G11" s="1209"/>
      <c r="H11" s="1209"/>
      <c r="I11" s="1209"/>
      <c r="J11" s="1209"/>
      <c r="K11" s="1209"/>
      <c r="L11" s="1209"/>
      <c r="M11" s="1209"/>
      <c r="N11" s="1209"/>
      <c r="O11" s="1209"/>
      <c r="P11" s="1209"/>
      <c r="Q11" s="1209"/>
      <c r="R11" s="1209"/>
      <c r="S11" s="1210"/>
      <c r="T11" s="1643">
        <f>IF('Sources and Basis Breakdown'!F105=0,'Sources and Basis Breakdown'!E105,'Sources and Basis Breakdown'!F105)</f>
        <v>22351129</v>
      </c>
      <c r="U11" s="1636"/>
      <c r="V11" s="1636"/>
      <c r="W11" s="1636"/>
      <c r="X11" s="1636"/>
      <c r="Y11" s="1652">
        <f>IF(Y7="",0,IF('Sources and Basis Breakdown'!G105+'Sources and Basis Breakdown'!F105='Sources and Basis Breakdown'!E105,'Sources and Basis Breakdown'!G105,0))</f>
        <v>0</v>
      </c>
      <c r="Z11" s="1636"/>
      <c r="AA11" s="1636"/>
      <c r="AB11" s="1636"/>
      <c r="AC11" s="1636"/>
      <c r="AD11" s="1636">
        <f>IF('Sources and Basis Breakdown'!I105=0,'Sources and Basis Breakdown'!H105,'Sources and Basis Breakdown'!I105)</f>
        <v>0</v>
      </c>
      <c r="AE11" s="1636"/>
      <c r="AF11" s="1636"/>
      <c r="AG11" s="1636"/>
      <c r="AH11" s="1636"/>
      <c r="AI11" s="1636">
        <f>IF(AI7="",0,IF('Sources and Basis Breakdown'!I105+'Sources and Basis Breakdown'!J105='Sources and Basis Breakdown'!H105,'Sources and Basis Breakdown'!J105,0))</f>
        <v>0</v>
      </c>
      <c r="AJ11" s="1636"/>
      <c r="AK11" s="1636"/>
      <c r="AL11" s="1636"/>
      <c r="AM11" s="1636"/>
    </row>
    <row r="12" spans="1:40" ht="12.95" customHeight="1">
      <c r="B12" s="1637" t="s">
        <v>447</v>
      </c>
      <c r="C12" s="1038"/>
      <c r="D12" s="1038"/>
      <c r="E12" s="1038"/>
      <c r="F12" s="1038"/>
      <c r="G12" s="1038"/>
      <c r="H12" s="1038"/>
      <c r="I12" s="1038"/>
      <c r="J12" s="1038"/>
      <c r="K12" s="1038"/>
      <c r="L12" s="1038"/>
      <c r="M12" s="1038"/>
      <c r="N12" s="1038"/>
      <c r="O12" s="1038"/>
      <c r="P12" s="1038"/>
      <c r="Q12" s="1038"/>
      <c r="R12" s="1038"/>
      <c r="S12" s="1638"/>
      <c r="T12" s="1646"/>
      <c r="U12" s="1647"/>
      <c r="V12" s="1647"/>
      <c r="W12" s="1647"/>
      <c r="X12" s="1648"/>
      <c r="Y12" s="1646"/>
      <c r="Z12" s="1647"/>
      <c r="AA12" s="1647"/>
      <c r="AB12" s="1647"/>
      <c r="AC12" s="1648"/>
      <c r="AD12" s="1646"/>
      <c r="AE12" s="1647"/>
      <c r="AF12" s="1647"/>
      <c r="AG12" s="1647"/>
      <c r="AH12" s="1648"/>
      <c r="AI12" s="1646"/>
      <c r="AJ12" s="1647"/>
      <c r="AK12" s="1647"/>
      <c r="AL12" s="1647"/>
      <c r="AM12" s="1648"/>
    </row>
    <row r="13" spans="1:40" ht="12.95" customHeight="1">
      <c r="B13" s="8"/>
      <c r="C13" s="1639" t="s">
        <v>1706</v>
      </c>
      <c r="D13" s="1640"/>
      <c r="E13" s="1640"/>
      <c r="F13" s="1640"/>
      <c r="G13" s="1640"/>
      <c r="H13" s="1640"/>
      <c r="I13" s="1640"/>
      <c r="J13" s="1640"/>
      <c r="K13" s="1640"/>
      <c r="L13" s="1640"/>
      <c r="M13" s="1640"/>
      <c r="N13" s="1640"/>
      <c r="O13" s="1640"/>
      <c r="P13" s="1640"/>
      <c r="Q13" s="1640"/>
      <c r="R13" s="1640"/>
      <c r="S13" s="1641"/>
      <c r="T13" s="1644"/>
      <c r="U13" s="1645"/>
      <c r="V13" s="1645"/>
      <c r="W13" s="1645"/>
      <c r="X13" s="1645"/>
      <c r="Y13" s="1644"/>
      <c r="Z13" s="1645"/>
      <c r="AA13" s="1645"/>
      <c r="AB13" s="1645"/>
      <c r="AC13" s="1645"/>
      <c r="AD13" s="1645"/>
      <c r="AE13" s="1645"/>
      <c r="AF13" s="1645"/>
      <c r="AG13" s="1645"/>
      <c r="AH13" s="1645"/>
      <c r="AI13" s="1645"/>
      <c r="AJ13" s="1645"/>
      <c r="AK13" s="1645"/>
      <c r="AL13" s="1645"/>
      <c r="AM13" s="1645"/>
    </row>
    <row r="14" spans="1:40" ht="12.95" customHeight="1">
      <c r="B14" s="8"/>
      <c r="C14" s="1640" t="s">
        <v>768</v>
      </c>
      <c r="D14" s="1640"/>
      <c r="E14" s="1640"/>
      <c r="F14" s="1640"/>
      <c r="G14" s="1640"/>
      <c r="H14" s="1640"/>
      <c r="I14" s="1640"/>
      <c r="J14" s="1640"/>
      <c r="K14" s="1640"/>
      <c r="L14" s="1640"/>
      <c r="M14" s="1640"/>
      <c r="N14" s="1640"/>
      <c r="O14" s="1640"/>
      <c r="P14" s="1640"/>
      <c r="Q14" s="1640"/>
      <c r="R14" s="1640"/>
      <c r="S14" s="1641"/>
      <c r="T14" s="1230"/>
      <c r="U14" s="1101"/>
      <c r="V14" s="1101"/>
      <c r="W14" s="1101"/>
      <c r="X14" s="1101"/>
      <c r="Y14" s="1230"/>
      <c r="Z14" s="1101"/>
      <c r="AA14" s="1101"/>
      <c r="AB14" s="1101"/>
      <c r="AC14" s="1101"/>
      <c r="AD14" s="1101"/>
      <c r="AE14" s="1101"/>
      <c r="AF14" s="1101"/>
      <c r="AG14" s="1101"/>
      <c r="AH14" s="1101"/>
      <c r="AI14" s="1101"/>
      <c r="AJ14" s="1101"/>
      <c r="AK14" s="1101"/>
      <c r="AL14" s="1101"/>
      <c r="AM14" s="1101"/>
    </row>
    <row r="15" spans="1:40" ht="12.95" customHeight="1">
      <c r="B15" s="8"/>
      <c r="C15" s="1640" t="s">
        <v>769</v>
      </c>
      <c r="D15" s="1640"/>
      <c r="E15" s="1640"/>
      <c r="F15" s="1640"/>
      <c r="G15" s="1640"/>
      <c r="H15" s="1640"/>
      <c r="I15" s="1640"/>
      <c r="J15" s="1640"/>
      <c r="K15" s="1640"/>
      <c r="L15" s="1640"/>
      <c r="M15" s="1640"/>
      <c r="N15" s="1640"/>
      <c r="O15" s="1640"/>
      <c r="P15" s="1640"/>
      <c r="Q15" s="1640"/>
      <c r="R15" s="1640"/>
      <c r="S15" s="1641"/>
      <c r="T15" s="1230"/>
      <c r="U15" s="1101"/>
      <c r="V15" s="1101"/>
      <c r="W15" s="1101"/>
      <c r="X15" s="1101"/>
      <c r="Y15" s="1230"/>
      <c r="Z15" s="1101"/>
      <c r="AA15" s="1101"/>
      <c r="AB15" s="1101"/>
      <c r="AC15" s="1101"/>
      <c r="AD15" s="1101"/>
      <c r="AE15" s="1101"/>
      <c r="AF15" s="1101"/>
      <c r="AG15" s="1101"/>
      <c r="AH15" s="1101"/>
      <c r="AI15" s="1101"/>
      <c r="AJ15" s="1101"/>
      <c r="AK15" s="1101"/>
      <c r="AL15" s="1101"/>
      <c r="AM15" s="1101"/>
    </row>
    <row r="16" spans="1:40" ht="12.95" customHeight="1">
      <c r="B16" s="8"/>
      <c r="C16" s="1639" t="s">
        <v>1012</v>
      </c>
      <c r="D16" s="1639"/>
      <c r="E16" s="1639"/>
      <c r="F16" s="1639"/>
      <c r="G16" s="1639"/>
      <c r="H16" s="1639"/>
      <c r="I16" s="1639"/>
      <c r="J16" s="1639"/>
      <c r="K16" s="1639"/>
      <c r="L16" s="1639"/>
      <c r="M16" s="1639"/>
      <c r="N16" s="1639"/>
      <c r="O16" s="1639"/>
      <c r="P16" s="1639"/>
      <c r="Q16" s="1639"/>
      <c r="R16" s="1639"/>
      <c r="S16" s="1642"/>
      <c r="T16" s="1230"/>
      <c r="U16" s="1101"/>
      <c r="V16" s="1101"/>
      <c r="W16" s="1101"/>
      <c r="X16" s="1101"/>
      <c r="Y16" s="1230"/>
      <c r="Z16" s="1101"/>
      <c r="AA16" s="1101"/>
      <c r="AB16" s="1101"/>
      <c r="AC16" s="1101"/>
      <c r="AD16" s="1101"/>
      <c r="AE16" s="1101"/>
      <c r="AF16" s="1101"/>
      <c r="AG16" s="1101"/>
      <c r="AH16" s="1101"/>
      <c r="AI16" s="1101"/>
      <c r="AJ16" s="1101"/>
      <c r="AK16" s="1101"/>
      <c r="AL16" s="1101"/>
      <c r="AM16" s="1101"/>
    </row>
    <row r="17" spans="1:39" ht="12.95" customHeight="1">
      <c r="B17" s="8"/>
      <c r="C17" s="1640" t="s">
        <v>770</v>
      </c>
      <c r="D17" s="1640"/>
      <c r="E17" s="1640"/>
      <c r="F17" s="1640"/>
      <c r="G17" s="1640"/>
      <c r="H17" s="1640"/>
      <c r="I17" s="1640"/>
      <c r="J17" s="1640"/>
      <c r="K17" s="1640"/>
      <c r="L17" s="1640"/>
      <c r="M17" s="1640"/>
      <c r="N17" s="1640"/>
      <c r="O17" s="1640"/>
      <c r="P17" s="1640"/>
      <c r="Q17" s="1640"/>
      <c r="R17" s="1640"/>
      <c r="S17" s="1641"/>
      <c r="T17" s="1230"/>
      <c r="U17" s="1101"/>
      <c r="V17" s="1101"/>
      <c r="W17" s="1101"/>
      <c r="X17" s="1101"/>
      <c r="Y17" s="1230"/>
      <c r="Z17" s="1101"/>
      <c r="AA17" s="1101"/>
      <c r="AB17" s="1101"/>
      <c r="AC17" s="1101"/>
      <c r="AD17" s="1101"/>
      <c r="AE17" s="1101"/>
      <c r="AF17" s="1101"/>
      <c r="AG17" s="1101"/>
      <c r="AH17" s="1101"/>
      <c r="AI17" s="1101"/>
      <c r="AJ17" s="1101"/>
      <c r="AK17" s="1101"/>
      <c r="AL17" s="1101"/>
      <c r="AM17" s="1101"/>
    </row>
    <row r="18" spans="1:39" ht="12.95" customHeight="1">
      <c r="B18" s="937"/>
      <c r="C18" s="1616" t="s">
        <v>1217</v>
      </c>
      <c r="D18" s="1616"/>
      <c r="E18" s="1616"/>
      <c r="F18" s="1616"/>
      <c r="G18" s="1616"/>
      <c r="H18" s="1616"/>
      <c r="I18" s="1616"/>
      <c r="J18" s="1616"/>
      <c r="K18" s="1616"/>
      <c r="L18" s="1616"/>
      <c r="M18" s="1616"/>
      <c r="N18" s="1616"/>
      <c r="O18" s="1616"/>
      <c r="P18" s="1616"/>
      <c r="Q18" s="1616"/>
      <c r="R18" s="1616"/>
      <c r="S18" s="1617"/>
      <c r="T18" s="1228"/>
      <c r="U18" s="1229"/>
      <c r="V18" s="1229"/>
      <c r="W18" s="1229"/>
      <c r="X18" s="1230"/>
      <c r="Y18" s="1230"/>
      <c r="Z18" s="1101"/>
      <c r="AA18" s="1101"/>
      <c r="AB18" s="1101"/>
      <c r="AC18" s="1101"/>
      <c r="AD18" s="1101"/>
      <c r="AE18" s="1101"/>
      <c r="AF18" s="1101"/>
      <c r="AG18" s="1101"/>
      <c r="AH18" s="1101"/>
      <c r="AI18" s="1101"/>
      <c r="AJ18" s="1101"/>
      <c r="AK18" s="1101"/>
      <c r="AL18" s="1101"/>
      <c r="AM18" s="1101"/>
    </row>
    <row r="19" spans="1:39" ht="12.95" customHeight="1">
      <c r="B19" s="481"/>
      <c r="C19" s="1616" t="s">
        <v>1217</v>
      </c>
      <c r="D19" s="1616"/>
      <c r="E19" s="1616"/>
      <c r="F19" s="1616"/>
      <c r="G19" s="1616"/>
      <c r="H19" s="1616"/>
      <c r="I19" s="1616"/>
      <c r="J19" s="1616"/>
      <c r="K19" s="1616"/>
      <c r="L19" s="1616"/>
      <c r="M19" s="1616"/>
      <c r="N19" s="1616"/>
      <c r="O19" s="1616"/>
      <c r="P19" s="1616"/>
      <c r="Q19" s="1616"/>
      <c r="R19" s="1616"/>
      <c r="S19" s="1617"/>
      <c r="T19" s="1230"/>
      <c r="U19" s="1101"/>
      <c r="V19" s="1101"/>
      <c r="W19" s="1101"/>
      <c r="X19" s="1101"/>
      <c r="Y19" s="1230"/>
      <c r="Z19" s="1101"/>
      <c r="AA19" s="1101"/>
      <c r="AB19" s="1101"/>
      <c r="AC19" s="1101"/>
      <c r="AD19" s="1101"/>
      <c r="AE19" s="1101"/>
      <c r="AF19" s="1101"/>
      <c r="AG19" s="1101"/>
      <c r="AH19" s="1101"/>
      <c r="AI19" s="1101"/>
      <c r="AJ19" s="1101"/>
      <c r="AK19" s="1101"/>
      <c r="AL19" s="1101"/>
      <c r="AM19" s="1101"/>
    </row>
    <row r="20" spans="1:39" ht="12.95" customHeight="1">
      <c r="B20" s="1208" t="s">
        <v>771</v>
      </c>
      <c r="C20" s="1209"/>
      <c r="D20" s="1209"/>
      <c r="E20" s="1209"/>
      <c r="F20" s="1209"/>
      <c r="G20" s="1209"/>
      <c r="H20" s="1209"/>
      <c r="I20" s="1209"/>
      <c r="J20" s="1209"/>
      <c r="K20" s="1209"/>
      <c r="L20" s="1209"/>
      <c r="M20" s="1209"/>
      <c r="N20" s="1209"/>
      <c r="O20" s="1209"/>
      <c r="P20" s="1209"/>
      <c r="Q20" s="1209"/>
      <c r="R20" s="1209"/>
      <c r="S20" s="1210"/>
      <c r="T20" s="1628">
        <f>SUM(T13:X19)</f>
        <v>0</v>
      </c>
      <c r="U20" s="1122"/>
      <c r="V20" s="1122"/>
      <c r="W20" s="1122"/>
      <c r="X20" s="1122"/>
      <c r="Y20" s="1628">
        <f>SUM(Y13:AC19)</f>
        <v>0</v>
      </c>
      <c r="Z20" s="1122"/>
      <c r="AA20" s="1122"/>
      <c r="AB20" s="1122"/>
      <c r="AC20" s="1122"/>
      <c r="AD20" s="1122">
        <f>SUM(AD13:AH19)</f>
        <v>0</v>
      </c>
      <c r="AE20" s="1122"/>
      <c r="AF20" s="1122"/>
      <c r="AG20" s="1122"/>
      <c r="AH20" s="1122"/>
      <c r="AI20" s="1122">
        <f>SUM(AI13:AM19)</f>
        <v>0</v>
      </c>
      <c r="AJ20" s="1122"/>
      <c r="AK20" s="1122"/>
      <c r="AL20" s="1122"/>
      <c r="AM20" s="1122"/>
    </row>
    <row r="21" spans="1:39" ht="12.95" customHeight="1">
      <c r="B21" s="1208" t="s">
        <v>1705</v>
      </c>
      <c r="C21" s="1209"/>
      <c r="D21" s="1209"/>
      <c r="E21" s="1209"/>
      <c r="F21" s="1209"/>
      <c r="G21" s="1209"/>
      <c r="H21" s="1209"/>
      <c r="I21" s="1209"/>
      <c r="J21" s="1209"/>
      <c r="K21" s="1209"/>
      <c r="L21" s="1209"/>
      <c r="M21" s="1209"/>
      <c r="N21" s="1209"/>
      <c r="O21" s="1209"/>
      <c r="P21" s="1209"/>
      <c r="Q21" s="1209"/>
      <c r="R21" s="1209"/>
      <c r="S21" s="1210"/>
      <c r="T21" s="1230">
        <v>10421235</v>
      </c>
      <c r="U21" s="1101"/>
      <c r="V21" s="1101"/>
      <c r="W21" s="1101"/>
      <c r="X21" s="1101"/>
      <c r="Y21" s="1230"/>
      <c r="Z21" s="1101"/>
      <c r="AA21" s="1101"/>
      <c r="AB21" s="1101"/>
      <c r="AC21" s="1101"/>
      <c r="AD21" s="1230"/>
      <c r="AE21" s="1101"/>
      <c r="AF21" s="1101"/>
      <c r="AG21" s="1101"/>
      <c r="AH21" s="1101"/>
      <c r="AI21" s="1230"/>
      <c r="AJ21" s="1101"/>
      <c r="AK21" s="1101"/>
      <c r="AL21" s="1101"/>
      <c r="AM21" s="1101"/>
    </row>
    <row r="22" spans="1:39" ht="12.95" customHeight="1">
      <c r="B22" s="1208" t="s">
        <v>772</v>
      </c>
      <c r="C22" s="1209"/>
      <c r="D22" s="1209"/>
      <c r="E22" s="1209"/>
      <c r="F22" s="1209"/>
      <c r="G22" s="1209"/>
      <c r="H22" s="1209"/>
      <c r="I22" s="1209"/>
      <c r="J22" s="1209"/>
      <c r="K22" s="1209"/>
      <c r="L22" s="1209"/>
      <c r="M22" s="1209"/>
      <c r="N22" s="1209"/>
      <c r="O22" s="1209"/>
      <c r="P22" s="1209"/>
      <c r="Q22" s="1209"/>
      <c r="R22" s="1209"/>
      <c r="S22" s="1210"/>
      <c r="T22" s="1629">
        <f>(ABS(T20)+ABS(T21))*-1</f>
        <v>-10421235</v>
      </c>
      <c r="U22" s="1630"/>
      <c r="V22" s="1630"/>
      <c r="W22" s="1630"/>
      <c r="X22" s="1630"/>
      <c r="Y22" s="1629">
        <f>(ABS(Y20)+ABS(Y21))*-1</f>
        <v>0</v>
      </c>
      <c r="Z22" s="1630"/>
      <c r="AA22" s="1630"/>
      <c r="AB22" s="1630"/>
      <c r="AC22" s="1630"/>
      <c r="AD22" s="1629">
        <f>(ABS(AD20)+ABS(AD21))*-1</f>
        <v>0</v>
      </c>
      <c r="AE22" s="1630"/>
      <c r="AF22" s="1630"/>
      <c r="AG22" s="1630"/>
      <c r="AH22" s="1630"/>
      <c r="AI22" s="1629">
        <f>(ABS(AI20)+ABS(AI21))*-1</f>
        <v>0</v>
      </c>
      <c r="AJ22" s="1630"/>
      <c r="AK22" s="1630"/>
      <c r="AL22" s="1630"/>
      <c r="AM22" s="1630"/>
    </row>
    <row r="23" spans="1:39" ht="12.95" customHeight="1">
      <c r="B23" s="1208" t="s">
        <v>1894</v>
      </c>
      <c r="C23" s="1209"/>
      <c r="D23" s="1209"/>
      <c r="E23" s="1209"/>
      <c r="F23" s="1209"/>
      <c r="G23" s="1209"/>
      <c r="H23" s="1209"/>
      <c r="I23" s="1209"/>
      <c r="J23" s="1209"/>
      <c r="K23" s="1209"/>
      <c r="L23" s="1209"/>
      <c r="M23" s="1209"/>
      <c r="N23" s="1209"/>
      <c r="O23" s="1209"/>
      <c r="P23" s="1209"/>
      <c r="Q23" s="1209"/>
      <c r="R23" s="1209"/>
      <c r="S23" s="1210"/>
      <c r="T23" s="1628">
        <f>T11+T22</f>
        <v>11929894</v>
      </c>
      <c r="U23" s="1122"/>
      <c r="V23" s="1122"/>
      <c r="W23" s="1122"/>
      <c r="X23" s="1122"/>
      <c r="Y23" s="1628">
        <f>Y11+Y22</f>
        <v>0</v>
      </c>
      <c r="Z23" s="1122"/>
      <c r="AA23" s="1122"/>
      <c r="AB23" s="1122"/>
      <c r="AC23" s="1122"/>
      <c r="AD23" s="1628">
        <f>IF(AD11=AD21,0,AD11)</f>
        <v>0</v>
      </c>
      <c r="AE23" s="1122"/>
      <c r="AF23" s="1122"/>
      <c r="AG23" s="1122"/>
      <c r="AH23" s="1122"/>
      <c r="AI23" s="1628">
        <f>IF(AI11=AI21,0,AI11)</f>
        <v>0</v>
      </c>
      <c r="AJ23" s="1122"/>
      <c r="AK23" s="1122"/>
      <c r="AL23" s="1122"/>
      <c r="AM23" s="1122"/>
    </row>
    <row r="24" spans="1:39" ht="12.95" customHeight="1">
      <c r="B24" s="1208" t="s">
        <v>1218</v>
      </c>
      <c r="C24" s="1209"/>
      <c r="D24" s="1209"/>
      <c r="E24" s="1209"/>
      <c r="F24" s="1209"/>
      <c r="G24" s="1209"/>
      <c r="H24" s="1209"/>
      <c r="I24" s="1209"/>
      <c r="J24" s="1209"/>
      <c r="K24" s="1209"/>
      <c r="L24" s="1209"/>
      <c r="M24" s="1209"/>
      <c r="N24" s="1209"/>
      <c r="O24" s="1209"/>
      <c r="P24" s="1209"/>
      <c r="Q24" s="1209"/>
      <c r="R24" s="1209"/>
      <c r="S24" s="1210"/>
      <c r="T24" s="1626">
        <f>Application!AJ1028</f>
        <v>19750147</v>
      </c>
      <c r="U24" s="1627"/>
      <c r="V24" s="1627"/>
      <c r="W24" s="1627"/>
      <c r="X24" s="1627"/>
      <c r="Y24" s="1627"/>
      <c r="Z24" s="1627"/>
      <c r="AA24" s="1627"/>
      <c r="AB24" s="1627"/>
      <c r="AC24" s="1627"/>
      <c r="AD24" s="1627"/>
      <c r="AE24" s="1627"/>
      <c r="AF24" s="1627"/>
      <c r="AG24" s="1627"/>
      <c r="AH24" s="1627"/>
      <c r="AI24" s="1627"/>
      <c r="AJ24" s="1627"/>
      <c r="AK24" s="1627"/>
      <c r="AL24" s="1627"/>
      <c r="AM24" s="1628"/>
    </row>
    <row r="25" spans="1:39" ht="12.95" customHeight="1">
      <c r="B25" s="1618" t="s">
        <v>1896</v>
      </c>
      <c r="C25" s="1619"/>
      <c r="D25" s="1619"/>
      <c r="E25" s="1619"/>
      <c r="F25" s="1619"/>
      <c r="G25" s="1619"/>
      <c r="H25" s="1619"/>
      <c r="I25" s="1619"/>
      <c r="J25" s="1619"/>
      <c r="K25" s="1619"/>
      <c r="L25" s="1619"/>
      <c r="M25" s="1619"/>
      <c r="N25" s="1619"/>
      <c r="O25" s="1619"/>
      <c r="P25" s="1619"/>
      <c r="Q25" s="1619"/>
      <c r="R25" s="1619"/>
      <c r="S25" s="1620"/>
      <c r="T25" s="1632">
        <f>IF(OR(AND(Application!T193="no",Application!T194="no",Application!T196="no",Application!Y211="no"),Application!T195="yes"),1,1.3)</f>
        <v>1.3</v>
      </c>
      <c r="U25" s="1633"/>
      <c r="V25" s="1633"/>
      <c r="W25" s="1633"/>
      <c r="X25" s="1633"/>
      <c r="Y25" s="1632">
        <v>1</v>
      </c>
      <c r="Z25" s="1633"/>
      <c r="AA25" s="1633"/>
      <c r="AB25" s="1633"/>
      <c r="AC25" s="1634"/>
      <c r="AD25" s="1632">
        <v>1</v>
      </c>
      <c r="AE25" s="1633"/>
      <c r="AF25" s="1633"/>
      <c r="AG25" s="1633"/>
      <c r="AH25" s="1634"/>
      <c r="AI25" s="1632">
        <v>1</v>
      </c>
      <c r="AJ25" s="1633"/>
      <c r="AK25" s="1633"/>
      <c r="AL25" s="1633"/>
      <c r="AM25" s="1634"/>
    </row>
    <row r="26" spans="1:39" ht="12.95" customHeight="1">
      <c r="B26" s="1208" t="s">
        <v>774</v>
      </c>
      <c r="C26" s="1209"/>
      <c r="D26" s="1209"/>
      <c r="E26" s="1209"/>
      <c r="F26" s="1209"/>
      <c r="G26" s="1209"/>
      <c r="H26" s="1209"/>
      <c r="I26" s="1209"/>
      <c r="J26" s="1209"/>
      <c r="K26" s="1209"/>
      <c r="L26" s="1209"/>
      <c r="M26" s="1209"/>
      <c r="N26" s="1209"/>
      <c r="O26" s="1209"/>
      <c r="P26" s="1209"/>
      <c r="Q26" s="1209"/>
      <c r="R26" s="1209"/>
      <c r="S26" s="1210"/>
      <c r="T26" s="1083">
        <f>T23*T25</f>
        <v>15508862.200000001</v>
      </c>
      <c r="U26" s="1631"/>
      <c r="V26" s="1631"/>
      <c r="W26" s="1631"/>
      <c r="X26" s="1631"/>
      <c r="Y26" s="1083">
        <f>Y23*Y25</f>
        <v>0</v>
      </c>
      <c r="Z26" s="1631"/>
      <c r="AA26" s="1631"/>
      <c r="AB26" s="1631"/>
      <c r="AC26" s="1631"/>
      <c r="AD26" s="1083">
        <f>AD23*AD25</f>
        <v>0</v>
      </c>
      <c r="AE26" s="1631"/>
      <c r="AF26" s="1631"/>
      <c r="AG26" s="1631"/>
      <c r="AH26" s="1631"/>
      <c r="AI26" s="1083">
        <f>AI23*AI25</f>
        <v>0</v>
      </c>
      <c r="AJ26" s="1631"/>
      <c r="AK26" s="1631"/>
      <c r="AL26" s="1631"/>
      <c r="AM26" s="1631"/>
    </row>
    <row r="27" spans="1:39" ht="12.95" customHeight="1">
      <c r="A27" s="4"/>
      <c r="B27" s="1621" t="s">
        <v>879</v>
      </c>
      <c r="C27" s="1622"/>
      <c r="D27" s="1622"/>
      <c r="E27" s="1622"/>
      <c r="F27" s="1622"/>
      <c r="G27" s="1622"/>
      <c r="H27" s="1622"/>
      <c r="I27" s="1622"/>
      <c r="J27" s="1622"/>
      <c r="K27" s="1622"/>
      <c r="L27" s="1622"/>
      <c r="M27" s="1622"/>
      <c r="N27" s="1622"/>
      <c r="O27" s="1622"/>
      <c r="P27" s="1622"/>
      <c r="Q27" s="1622"/>
      <c r="R27" s="1622"/>
      <c r="S27" s="1623"/>
      <c r="T27" s="1624">
        <f>Application!AG446</f>
        <v>1</v>
      </c>
      <c r="U27" s="1625"/>
      <c r="V27" s="1625"/>
      <c r="W27" s="1625"/>
      <c r="X27" s="1625"/>
      <c r="Y27" s="1624">
        <f>Application!AG446</f>
        <v>1</v>
      </c>
      <c r="Z27" s="1625"/>
      <c r="AA27" s="1625"/>
      <c r="AB27" s="1625"/>
      <c r="AC27" s="1625"/>
      <c r="AD27" s="1624">
        <f>Application!AG446</f>
        <v>1</v>
      </c>
      <c r="AE27" s="1625"/>
      <c r="AF27" s="1625"/>
      <c r="AG27" s="1625"/>
      <c r="AH27" s="1625"/>
      <c r="AI27" s="1624">
        <f>Application!AG446</f>
        <v>1</v>
      </c>
      <c r="AJ27" s="1625"/>
      <c r="AK27" s="1625"/>
      <c r="AL27" s="1625"/>
      <c r="AM27" s="1625"/>
    </row>
    <row r="28" spans="1:39" ht="12.95" customHeight="1">
      <c r="A28" s="3"/>
      <c r="B28" s="1208" t="s">
        <v>843</v>
      </c>
      <c r="C28" s="1209"/>
      <c r="D28" s="1209"/>
      <c r="E28" s="1209"/>
      <c r="F28" s="1209"/>
      <c r="G28" s="1209"/>
      <c r="H28" s="1209"/>
      <c r="I28" s="1209"/>
      <c r="J28" s="1209"/>
      <c r="K28" s="1209"/>
      <c r="L28" s="1209"/>
      <c r="M28" s="1209"/>
      <c r="N28" s="1209"/>
      <c r="O28" s="1209"/>
      <c r="P28" s="1209"/>
      <c r="Q28" s="1209"/>
      <c r="R28" s="1209"/>
      <c r="S28" s="1210"/>
      <c r="T28" s="1083">
        <f>IF(ISERROR((T26*T27)),0,(T26*T27))</f>
        <v>15508862.200000001</v>
      </c>
      <c r="U28" s="1631"/>
      <c r="V28" s="1631"/>
      <c r="W28" s="1631"/>
      <c r="X28" s="1631"/>
      <c r="Y28" s="1083">
        <f>IF(ISERROR((Y26*Y27)),0,(Y26*Y27))</f>
        <v>0</v>
      </c>
      <c r="Z28" s="1631"/>
      <c r="AA28" s="1631"/>
      <c r="AB28" s="1631"/>
      <c r="AC28" s="1631"/>
      <c r="AD28" s="1083">
        <f>IF(ISERROR((AD26*AD27)),0,(AD26*AD27))</f>
        <v>0</v>
      </c>
      <c r="AE28" s="1631"/>
      <c r="AF28" s="1631"/>
      <c r="AG28" s="1631"/>
      <c r="AH28" s="1631"/>
      <c r="AI28" s="1083">
        <f>IF(ISERROR((AI26*AI27)),0,(AI26*AI27))</f>
        <v>0</v>
      </c>
      <c r="AJ28" s="1631"/>
      <c r="AK28" s="1631"/>
      <c r="AL28" s="1631"/>
      <c r="AM28" s="1631"/>
    </row>
    <row r="29" spans="1:39" ht="12.95" customHeight="1">
      <c r="B29" s="1208" t="s">
        <v>623</v>
      </c>
      <c r="C29" s="1209"/>
      <c r="D29" s="1209"/>
      <c r="E29" s="1209"/>
      <c r="F29" s="1209"/>
      <c r="G29" s="1209"/>
      <c r="H29" s="1209"/>
      <c r="I29" s="1209"/>
      <c r="J29" s="1209"/>
      <c r="K29" s="1209"/>
      <c r="L29" s="1209"/>
      <c r="M29" s="1209"/>
      <c r="N29" s="1209"/>
      <c r="O29" s="1209"/>
      <c r="P29" s="1209"/>
      <c r="Q29" s="1209"/>
      <c r="R29" s="1209"/>
      <c r="S29" s="1210"/>
      <c r="T29" s="1626">
        <f>T28+Y28+AD28+AI28</f>
        <v>15508862.200000001</v>
      </c>
      <c r="U29" s="1627"/>
      <c r="V29" s="1627"/>
      <c r="W29" s="1627"/>
      <c r="X29" s="1627"/>
      <c r="Y29" s="1627"/>
      <c r="Z29" s="1627"/>
      <c r="AA29" s="1627"/>
      <c r="AB29" s="1627"/>
      <c r="AC29" s="1627"/>
      <c r="AD29" s="1627"/>
      <c r="AE29" s="1627"/>
      <c r="AF29" s="1627"/>
      <c r="AG29" s="1627"/>
      <c r="AH29" s="1627"/>
      <c r="AI29" s="1627"/>
      <c r="AJ29" s="1627"/>
      <c r="AK29" s="1627"/>
      <c r="AL29" s="1627"/>
      <c r="AM29" s="1628"/>
    </row>
    <row r="30" spans="1:39" ht="12.95" customHeight="1">
      <c r="B30" s="1662" t="s">
        <v>1895</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1662"/>
      <c r="AI30" s="1662"/>
      <c r="AJ30" s="1662"/>
      <c r="AK30" s="1662"/>
      <c r="AL30" s="1662"/>
      <c r="AM30" s="1662"/>
    </row>
    <row r="31" spans="1:39" ht="12.95" customHeight="1">
      <c r="B31" s="1663" t="s">
        <v>1897</v>
      </c>
      <c r="C31" s="1663"/>
      <c r="D31" s="1663"/>
      <c r="E31" s="1663"/>
      <c r="F31" s="1663"/>
      <c r="G31" s="1663"/>
      <c r="H31" s="1663"/>
      <c r="I31" s="1663"/>
      <c r="J31" s="1663"/>
      <c r="K31" s="1663"/>
      <c r="L31" s="1663"/>
      <c r="M31" s="1663"/>
      <c r="N31" s="1663"/>
      <c r="O31" s="1663"/>
      <c r="P31" s="1663"/>
      <c r="Q31" s="1663"/>
      <c r="R31" s="1663"/>
      <c r="S31" s="1663"/>
      <c r="T31" s="1663"/>
      <c r="U31" s="1663"/>
      <c r="V31" s="1663"/>
      <c r="W31" s="1663"/>
      <c r="X31" s="1663"/>
      <c r="Y31" s="1663"/>
      <c r="Z31" s="1663"/>
      <c r="AA31" s="1663"/>
      <c r="AB31" s="1663"/>
      <c r="AC31" s="1663"/>
      <c r="AD31" s="1663"/>
      <c r="AE31" s="1663"/>
      <c r="AF31" s="1663"/>
      <c r="AG31" s="1663"/>
      <c r="AH31" s="1663"/>
      <c r="AI31" s="1663"/>
      <c r="AJ31" s="1663"/>
      <c r="AK31" s="1663"/>
      <c r="AL31" s="1663"/>
      <c r="AM31" s="1663"/>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35" t="s">
        <v>1600</v>
      </c>
      <c r="Z35" s="1635"/>
      <c r="AA35" s="1635"/>
      <c r="AB35" s="1635"/>
      <c r="AC35" s="1635"/>
      <c r="AD35" s="1526" t="s">
        <v>41</v>
      </c>
      <c r="AE35" s="1526"/>
      <c r="AF35" s="1526"/>
      <c r="AG35" s="1526"/>
      <c r="AH35" s="1526"/>
    </row>
    <row r="36" spans="1:44" ht="12.95" customHeight="1">
      <c r="B36" s="202"/>
      <c r="X36" s="71"/>
      <c r="Y36" s="1635"/>
      <c r="Z36" s="1635"/>
      <c r="AA36" s="1635"/>
      <c r="AB36" s="1635"/>
      <c r="AC36" s="1635"/>
      <c r="AD36" s="1526"/>
      <c r="AE36" s="1526"/>
      <c r="AF36" s="1526"/>
      <c r="AG36" s="1526"/>
      <c r="AH36" s="152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5"/>
      <c r="Z37" s="1635"/>
      <c r="AA37" s="1635"/>
      <c r="AB37" s="1635"/>
      <c r="AC37" s="1635"/>
      <c r="AD37" s="1526"/>
      <c r="AE37" s="1526"/>
      <c r="AF37" s="1526"/>
      <c r="AG37" s="1526"/>
      <c r="AH37" s="1526"/>
    </row>
    <row r="38" spans="1:44" ht="12.95" customHeight="1">
      <c r="A38" s="3"/>
      <c r="B38" s="1208" t="s">
        <v>843</v>
      </c>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10"/>
      <c r="Y38" s="1122">
        <f>IF(T24&gt;=(T23+Y23+AD23+AI23),T28+Y28,0)</f>
        <v>15508862.200000001</v>
      </c>
      <c r="Z38" s="1122"/>
      <c r="AA38" s="1122"/>
      <c r="AB38" s="1122"/>
      <c r="AC38" s="1122"/>
      <c r="AD38" s="1122">
        <f>IF(T24&gt;=(T23+Y23+AD23+AI23),AD28+AI28,0)</f>
        <v>0</v>
      </c>
      <c r="AE38" s="1122"/>
      <c r="AF38" s="1122"/>
      <c r="AG38" s="1122"/>
      <c r="AH38" s="1122"/>
    </row>
    <row r="39" spans="1:44" ht="12.95" customHeight="1">
      <c r="B39" s="1208" t="s">
        <v>1804</v>
      </c>
      <c r="C39" s="1209"/>
      <c r="D39" s="1209"/>
      <c r="E39" s="1209"/>
      <c r="F39" s="1209"/>
      <c r="G39" s="1209"/>
      <c r="H39" s="1209"/>
      <c r="I39" s="1209"/>
      <c r="J39" s="1209"/>
      <c r="K39" s="1209"/>
      <c r="L39" s="1209"/>
      <c r="M39" s="1209"/>
      <c r="N39" s="1209"/>
      <c r="O39" s="1209"/>
      <c r="P39" s="1209"/>
      <c r="Q39" s="1209"/>
      <c r="R39" s="1209"/>
      <c r="S39" s="1209"/>
      <c r="T39" s="1209"/>
      <c r="U39" s="1209"/>
      <c r="V39" s="1209"/>
      <c r="W39" s="1209"/>
      <c r="X39" s="1210"/>
      <c r="Y39" s="1666">
        <v>0.09</v>
      </c>
      <c r="Z39" s="1666"/>
      <c r="AA39" s="1666"/>
      <c r="AB39" s="1666"/>
      <c r="AC39" s="1666"/>
      <c r="AD39" s="1666">
        <v>0.04</v>
      </c>
      <c r="AE39" s="1666"/>
      <c r="AF39" s="1666"/>
      <c r="AG39" s="1666"/>
      <c r="AH39" s="1666"/>
    </row>
    <row r="40" spans="1:44" ht="12.95" customHeight="1">
      <c r="A40" s="3"/>
      <c r="B40" s="1208" t="s">
        <v>23</v>
      </c>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10"/>
      <c r="Y40" s="1122">
        <f>ROUND(Y38*Y39,0)</f>
        <v>1395798</v>
      </c>
      <c r="Z40" s="1122"/>
      <c r="AA40" s="1122"/>
      <c r="AB40" s="1122"/>
      <c r="AC40" s="1122"/>
      <c r="AD40" s="1628">
        <f>ROUND(AD38*AD39,0)</f>
        <v>0</v>
      </c>
      <c r="AE40" s="1122"/>
      <c r="AF40" s="1122"/>
      <c r="AG40" s="1122"/>
      <c r="AH40" s="1122"/>
    </row>
    <row r="41" spans="1:44" ht="12.95" customHeight="1">
      <c r="B41" s="1208" t="s">
        <v>617</v>
      </c>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10"/>
      <c r="Y41" s="1626">
        <f>IF(Application!Y211="No",'Basis &amp; Credits'!AR42,AR43)</f>
        <v>1395798</v>
      </c>
      <c r="Z41" s="1627"/>
      <c r="AA41" s="1627"/>
      <c r="AB41" s="1627"/>
      <c r="AC41" s="1627"/>
      <c r="AD41" s="1627"/>
      <c r="AE41" s="1627"/>
      <c r="AF41" s="1627"/>
      <c r="AG41" s="1627"/>
      <c r="AH41" s="1628"/>
    </row>
    <row r="42" spans="1:44" ht="12.95" customHeight="1">
      <c r="A42" s="3"/>
      <c r="B42" s="1660" t="s">
        <v>1805</v>
      </c>
      <c r="C42" s="1660"/>
      <c r="D42" s="1660"/>
      <c r="E42" s="1660"/>
      <c r="F42" s="1660"/>
      <c r="G42" s="1660"/>
      <c r="H42" s="1660"/>
      <c r="I42" s="1660"/>
      <c r="J42" s="1660"/>
      <c r="K42" s="1660"/>
      <c r="L42" s="1660"/>
      <c r="M42" s="1660"/>
      <c r="N42" s="1660"/>
      <c r="O42" s="1660"/>
      <c r="P42" s="1660"/>
      <c r="Q42" s="1660"/>
      <c r="R42" s="1660"/>
      <c r="S42" s="1660"/>
      <c r="T42" s="1660"/>
      <c r="U42" s="1660"/>
      <c r="V42" s="1660"/>
      <c r="W42" s="1660"/>
      <c r="X42" s="1660"/>
      <c r="Y42" s="1660"/>
      <c r="Z42" s="1660"/>
      <c r="AA42" s="1660"/>
      <c r="AB42" s="1660"/>
      <c r="AC42" s="1660"/>
      <c r="AD42" s="1660"/>
      <c r="AE42" s="1660"/>
      <c r="AF42" s="1660"/>
      <c r="AG42" s="1660"/>
      <c r="AH42" s="1660"/>
      <c r="AI42" s="26"/>
      <c r="AJ42" s="26"/>
      <c r="AK42" s="26"/>
      <c r="AL42" s="26"/>
      <c r="AM42" s="26"/>
      <c r="AN42" s="26"/>
      <c r="AR42">
        <f>IF((Y40+AD40)&gt;2500000,2500000,Y40+AD40)</f>
        <v>1395798</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1395798</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19">
        <f>'Sources and Uses Budget'!B104-(MAX(IF('Sources and Uses Budget'!B15="",0,'Sources and Uses Budget'!B15),IF(Application!AG395="",0,Application!AG395)))</f>
        <v>28015770</v>
      </c>
      <c r="AC46" s="1220"/>
      <c r="AD46" s="1220"/>
      <c r="AE46" s="1220"/>
      <c r="AF46" s="1221"/>
    </row>
    <row r="47" spans="1:44" ht="12.95" customHeight="1">
      <c r="D47" s="3" t="s">
        <v>837</v>
      </c>
      <c r="AB47" s="1219">
        <f>Application!AO641-MAX(IF('Sources and Uses Budget'!B15="",0,'Sources and Uses Budget'!B15),IF(Application!AG395="",0,Application!AG395))</f>
        <v>15982602</v>
      </c>
      <c r="AC47" s="1220"/>
      <c r="AD47" s="1220"/>
      <c r="AE47" s="1220"/>
      <c r="AF47" s="1221"/>
    </row>
    <row r="48" spans="1:44" ht="12.95" customHeight="1">
      <c r="D48" s="3" t="s">
        <v>378</v>
      </c>
      <c r="AB48" s="1219">
        <f>AB46-AB47</f>
        <v>12033168</v>
      </c>
      <c r="AC48" s="1220"/>
      <c r="AD48" s="1220"/>
      <c r="AE48" s="1220"/>
      <c r="AF48" s="1221"/>
    </row>
    <row r="49" spans="1:40" ht="12.95" customHeight="1">
      <c r="D49" s="3" t="s">
        <v>872</v>
      </c>
      <c r="AA49" s="34"/>
      <c r="AB49" s="1655">
        <v>0.86499999999999999</v>
      </c>
      <c r="AC49" s="1656"/>
      <c r="AD49" s="1656"/>
      <c r="AE49" s="1656"/>
      <c r="AF49" s="1657"/>
    </row>
    <row r="50" spans="1:40" s="321" customFormat="1" ht="12.95" customHeight="1">
      <c r="A50"/>
      <c r="B50"/>
      <c r="C50"/>
      <c r="D50"/>
      <c r="E50" s="1661" t="s">
        <v>2328</v>
      </c>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351"/>
      <c r="AB50" s="351"/>
      <c r="AC50" s="351"/>
      <c r="AD50" s="351"/>
      <c r="AE50" s="351"/>
      <c r="AF50" s="351"/>
      <c r="AG50"/>
      <c r="AH50"/>
      <c r="AI50"/>
      <c r="AJ50"/>
      <c r="AK50"/>
      <c r="AL50"/>
      <c r="AM50"/>
      <c r="AN50"/>
    </row>
    <row r="51" spans="1:40" s="321" customFormat="1" ht="12.95" customHeight="1">
      <c r="A51"/>
      <c r="B51"/>
      <c r="C51"/>
      <c r="D51"/>
      <c r="E51" s="1661"/>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9">
        <f>ROUND(IF(ISERROR((AB48/AB49)),0,(AB48/AB49)),0)</f>
        <v>13911177</v>
      </c>
      <c r="AC53" s="1220"/>
      <c r="AD53" s="1220"/>
      <c r="AE53" s="1220"/>
      <c r="AF53" s="1221"/>
    </row>
    <row r="54" spans="1:40" ht="12.95" customHeight="1">
      <c r="D54" s="3" t="s">
        <v>561</v>
      </c>
      <c r="AB54" s="1219">
        <f>(AB53/10)</f>
        <v>1391117.7</v>
      </c>
      <c r="AC54" s="1220"/>
      <c r="AD54" s="1220"/>
      <c r="AE54" s="1220"/>
      <c r="AF54" s="1221"/>
    </row>
    <row r="55" spans="1:40" ht="12.95" customHeight="1">
      <c r="D55" s="3" t="s">
        <v>341</v>
      </c>
      <c r="AB55" s="1219">
        <f>(IF((Y41&lt;AB54),Y41,AB54))</f>
        <v>1391117.7</v>
      </c>
      <c r="AC55" s="1220"/>
      <c r="AD55" s="1220"/>
      <c r="AE55" s="1220"/>
      <c r="AF55" s="1221"/>
    </row>
    <row r="56" spans="1:40" ht="12.95" customHeight="1">
      <c r="D56" s="3" t="s">
        <v>107</v>
      </c>
      <c r="AB56" s="1219">
        <f>ROUND((10*AB55*AB49),0)</f>
        <v>12033168</v>
      </c>
      <c r="AC56" s="1220"/>
      <c r="AD56" s="1220"/>
      <c r="AE56" s="1220"/>
      <c r="AF56" s="1221"/>
    </row>
    <row r="57" spans="1:40" ht="12.95" customHeight="1">
      <c r="D57" s="3"/>
      <c r="AB57" s="274"/>
      <c r="AC57" s="274"/>
      <c r="AD57" s="274"/>
      <c r="AE57" s="274"/>
      <c r="AF57" s="274"/>
    </row>
    <row r="58" spans="1:40" ht="12.95" customHeight="1">
      <c r="D58" s="3" t="s">
        <v>106</v>
      </c>
      <c r="AB58" s="1114">
        <f>AB48-AB56</f>
        <v>0</v>
      </c>
      <c r="AC58" s="1114"/>
      <c r="AD58" s="1114"/>
      <c r="AE58" s="1114"/>
      <c r="AF58" s="1114"/>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64" t="s">
        <v>1742</v>
      </c>
      <c r="B60" s="1664"/>
      <c r="C60" s="1664"/>
      <c r="D60" s="1664"/>
      <c r="E60" s="1664"/>
      <c r="F60" s="1664"/>
      <c r="G60" s="1664"/>
      <c r="H60" s="1664"/>
      <c r="I60" s="1664"/>
      <c r="J60" s="1664"/>
      <c r="K60" s="1664"/>
      <c r="L60" s="1664"/>
      <c r="M60" s="1664"/>
      <c r="N60" s="1664"/>
      <c r="O60" s="1664"/>
      <c r="P60" s="1664"/>
      <c r="Q60" s="1664"/>
      <c r="R60" s="1664"/>
      <c r="S60" s="1664"/>
      <c r="T60" s="1664"/>
      <c r="U60" s="1664"/>
      <c r="V60" s="1664"/>
      <c r="W60" s="1664"/>
      <c r="X60" s="1664"/>
      <c r="Y60" s="1664"/>
      <c r="Z60" s="1664"/>
      <c r="AA60" s="1664"/>
      <c r="AB60" s="1664"/>
      <c r="AC60" s="1664"/>
      <c r="AD60" s="1664"/>
      <c r="AE60" s="1664"/>
      <c r="AF60" s="1664"/>
      <c r="AG60" s="1664"/>
      <c r="AH60" s="1664"/>
      <c r="AI60" s="1664"/>
      <c r="AJ60" s="1664"/>
      <c r="AK60" s="1664"/>
      <c r="AL60" s="1664"/>
      <c r="AM60" s="1664"/>
      <c r="AN60" s="1664"/>
    </row>
    <row r="61" spans="1:40" ht="12.95" customHeight="1" thickTop="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row r="62" spans="1:40" ht="12.95" customHeight="1">
      <c r="A62" s="3" t="s">
        <v>122</v>
      </c>
      <c r="C62" s="3" t="s">
        <v>509</v>
      </c>
      <c r="Y62" s="1189" t="s">
        <v>298</v>
      </c>
      <c r="Z62" s="1189"/>
      <c r="AA62" s="1189"/>
      <c r="AB62" s="1189"/>
      <c r="AC62" s="1189"/>
      <c r="AD62" s="1189" t="s">
        <v>41</v>
      </c>
      <c r="AE62" s="1189"/>
      <c r="AF62" s="1189"/>
      <c r="AG62" s="1189"/>
      <c r="AH62" s="118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31">
        <f>IF(AND(Application!T193="No",Application!T194="No"),T28,IF(OR(AND(T25=1.3,Application!T196="Yes",Application!D214="Special Needs"),T25=1),(T23*T27)+Y28,Y28))</f>
        <v>0</v>
      </c>
      <c r="Z63" s="1658"/>
      <c r="AA63" s="1658"/>
      <c r="AB63" s="1658"/>
      <c r="AC63" s="1658"/>
      <c r="AD63" s="1122">
        <f>IF(AND(T25=1.3,Application!D214="At-Risk"),AI28,IF(Application!D214&lt;&gt;"At-Risk",0,AD28))</f>
        <v>0</v>
      </c>
      <c r="AE63" s="1658"/>
      <c r="AF63" s="1658"/>
      <c r="AG63" s="1658"/>
      <c r="AH63" s="1658"/>
    </row>
    <row r="64" spans="1:40" ht="12.95" customHeight="1">
      <c r="C64" s="3"/>
      <c r="E64" s="1665" t="s">
        <v>1289</v>
      </c>
      <c r="F64" s="1665"/>
      <c r="G64" s="1665"/>
      <c r="H64" s="1665"/>
      <c r="I64" s="1665"/>
      <c r="J64" s="1665"/>
      <c r="K64" s="1665"/>
      <c r="L64" s="1665"/>
      <c r="M64" s="1665"/>
      <c r="N64" s="1665"/>
      <c r="O64" s="1665"/>
      <c r="P64" s="1665"/>
      <c r="Q64" s="1665"/>
      <c r="R64" s="1665"/>
      <c r="S64" s="1665"/>
      <c r="T64" s="1665"/>
      <c r="U64" s="1665"/>
      <c r="V64" s="1665"/>
      <c r="W64" s="1665"/>
      <c r="X64" s="1665"/>
      <c r="Y64" s="1665"/>
      <c r="Z64" s="1665"/>
      <c r="AA64" s="1665"/>
      <c r="AB64" s="1665"/>
      <c r="AC64" s="1665"/>
      <c r="AD64" s="1665"/>
      <c r="AE64" s="1665"/>
      <c r="AF64" s="1665"/>
      <c r="AG64" s="1665"/>
      <c r="AH64" s="1665"/>
    </row>
    <row r="65" spans="1:34" ht="21.75" customHeight="1">
      <c r="C65" s="3"/>
      <c r="E65" s="1665"/>
      <c r="F65" s="1665"/>
      <c r="G65" s="1665"/>
      <c r="H65" s="1665"/>
      <c r="I65" s="1665"/>
      <c r="J65" s="1665"/>
      <c r="K65" s="1665"/>
      <c r="L65" s="1665"/>
      <c r="M65" s="1665"/>
      <c r="N65" s="1665"/>
      <c r="O65" s="1665"/>
      <c r="P65" s="1665"/>
      <c r="Q65" s="1665"/>
      <c r="R65" s="1665"/>
      <c r="S65" s="1665"/>
      <c r="T65" s="1665"/>
      <c r="U65" s="1665"/>
      <c r="V65" s="1665"/>
      <c r="W65" s="1665"/>
      <c r="X65" s="1665"/>
      <c r="Y65" s="1665"/>
      <c r="Z65" s="1665"/>
      <c r="AA65" s="1665"/>
      <c r="AB65" s="1665"/>
      <c r="AC65" s="1665"/>
      <c r="AD65" s="1665"/>
      <c r="AE65" s="1665"/>
      <c r="AF65" s="1665"/>
      <c r="AG65" s="1665"/>
      <c r="AH65" s="166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54">
        <f>IF(Application!W198="Yes",95%, 30%)</f>
        <v>0.3</v>
      </c>
      <c r="Z66" s="1654"/>
      <c r="AA66" s="1654"/>
      <c r="AB66" s="1654"/>
      <c r="AC66" s="1654"/>
      <c r="AD66" s="1654">
        <f>IF(Application!W198="Yes",95%, 13%)</f>
        <v>0.13</v>
      </c>
      <c r="AE66" s="1654"/>
      <c r="AF66" s="1654"/>
      <c r="AG66" s="1654"/>
      <c r="AH66" s="1654"/>
    </row>
    <row r="67" spans="1:34" ht="12.95" customHeight="1">
      <c r="C67" s="3"/>
      <c r="D67" s="3" t="s">
        <v>941</v>
      </c>
      <c r="Y67" s="1122">
        <f>ROUND(Y63*Y66,0)</f>
        <v>0</v>
      </c>
      <c r="Z67" s="1658"/>
      <c r="AA67" s="1658"/>
      <c r="AB67" s="1658"/>
      <c r="AC67" s="1658"/>
      <c r="AD67" s="1122" t="str">
        <f>IF(OR(Application!D211="At-Risk",Application!D211="At-Risk/Located in Rural Census Tract",Application!D214="At-Risk"),ROUND(AD63*AD66,0),"$0")</f>
        <v>$0</v>
      </c>
      <c r="AE67" s="1122"/>
      <c r="AF67" s="1122"/>
      <c r="AG67" s="1122"/>
      <c r="AH67" s="1122"/>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55"/>
      <c r="AC70" s="1656"/>
      <c r="AD70" s="1656"/>
      <c r="AE70" s="1656"/>
      <c r="AF70" s="1657"/>
    </row>
    <row r="71" spans="1:34" ht="12.95" customHeight="1">
      <c r="A71" s="3"/>
      <c r="C71" s="3"/>
      <c r="D71" s="3"/>
      <c r="E71" s="1659" t="s">
        <v>2233</v>
      </c>
      <c r="F71" s="1659"/>
      <c r="G71" s="1659"/>
      <c r="H71" s="1659"/>
      <c r="I71" s="1659"/>
      <c r="J71" s="1659"/>
      <c r="K71" s="1659"/>
      <c r="L71" s="1659"/>
      <c r="M71" s="1659"/>
      <c r="N71" s="1659"/>
      <c r="O71" s="1659"/>
      <c r="P71" s="1659"/>
      <c r="Q71" s="1659"/>
      <c r="R71" s="1659"/>
      <c r="S71" s="1659"/>
      <c r="T71" s="1659"/>
      <c r="U71" s="1659"/>
      <c r="V71" s="1659"/>
      <c r="W71" s="1659"/>
      <c r="X71" s="1659"/>
      <c r="Y71" s="1659"/>
      <c r="Z71" s="1659"/>
      <c r="AA71" s="251"/>
      <c r="AB71" s="251"/>
      <c r="AC71" s="251"/>
    </row>
    <row r="72" spans="1:34" ht="12.95" customHeight="1">
      <c r="A72" s="3"/>
      <c r="C72" s="3"/>
      <c r="D72" s="3"/>
      <c r="E72" s="1659"/>
      <c r="F72" s="1659"/>
      <c r="G72" s="1659"/>
      <c r="H72" s="1659"/>
      <c r="I72" s="1659"/>
      <c r="J72" s="1659"/>
      <c r="K72" s="1659"/>
      <c r="L72" s="1659"/>
      <c r="M72" s="1659"/>
      <c r="N72" s="1659"/>
      <c r="O72" s="1659"/>
      <c r="P72" s="1659"/>
      <c r="Q72" s="1659"/>
      <c r="R72" s="1659"/>
      <c r="S72" s="1659"/>
      <c r="T72" s="1659"/>
      <c r="U72" s="1659"/>
      <c r="V72" s="1659"/>
      <c r="W72" s="1659"/>
      <c r="X72" s="1659"/>
      <c r="Y72" s="1659"/>
      <c r="Z72" s="1659"/>
      <c r="AA72" s="251"/>
      <c r="AB72" s="251"/>
      <c r="AC72" s="251"/>
    </row>
    <row r="73" spans="1:34" ht="12.95" customHeight="1">
      <c r="A73" s="3"/>
      <c r="C73" s="3"/>
      <c r="D73" s="3"/>
      <c r="E73" s="1659"/>
      <c r="F73" s="1659"/>
      <c r="G73" s="1659"/>
      <c r="H73" s="1659"/>
      <c r="I73" s="1659"/>
      <c r="J73" s="1659"/>
      <c r="K73" s="1659"/>
      <c r="L73" s="1659"/>
      <c r="M73" s="1659"/>
      <c r="N73" s="1659"/>
      <c r="O73" s="1659"/>
      <c r="P73" s="1659"/>
      <c r="Q73" s="1659"/>
      <c r="R73" s="1659"/>
      <c r="S73" s="1659"/>
      <c r="T73" s="1659"/>
      <c r="U73" s="1659"/>
      <c r="V73" s="1659"/>
      <c r="W73" s="1659"/>
      <c r="X73" s="1659"/>
      <c r="Y73" s="1659"/>
      <c r="Z73" s="165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40">
        <f>ROUND(IF(ISERROR((AB58/AB70)),0,(AB58/AB70)),0)</f>
        <v>0</v>
      </c>
      <c r="AC75" s="1540"/>
      <c r="AD75" s="1540"/>
      <c r="AE75" s="1540"/>
      <c r="AF75" s="1540"/>
    </row>
    <row r="76" spans="1:34" ht="12.95" customHeight="1">
      <c r="C76" s="3"/>
      <c r="D76" s="3" t="s">
        <v>105</v>
      </c>
      <c r="AB76" s="1579">
        <f>ROUNDUP(MIN((Y67+AD67),AB75),0)</f>
        <v>0</v>
      </c>
      <c r="AC76" s="1580"/>
      <c r="AD76" s="1580"/>
      <c r="AE76" s="1580"/>
      <c r="AF76" s="1581"/>
    </row>
    <row r="77" spans="1:34" ht="12.95" customHeight="1">
      <c r="C77" s="3"/>
      <c r="D77" s="3" t="s">
        <v>942</v>
      </c>
      <c r="AB77" s="1653">
        <f>AB76*AB70</f>
        <v>0</v>
      </c>
      <c r="AC77" s="1653"/>
      <c r="AD77" s="1653"/>
      <c r="AE77" s="1653"/>
      <c r="AF77" s="1653"/>
    </row>
    <row r="78" spans="1:34" ht="12.95" customHeight="1">
      <c r="C78" s="3"/>
      <c r="D78" s="3"/>
      <c r="AB78" s="595"/>
      <c r="AC78" s="595"/>
      <c r="AD78" s="595"/>
      <c r="AE78" s="595"/>
      <c r="AF78" s="595"/>
    </row>
    <row r="79" spans="1:34" ht="12.95" customHeight="1">
      <c r="D79" s="3" t="s">
        <v>106</v>
      </c>
      <c r="AB79" s="1114">
        <f>AB48-(AB56+AB77)</f>
        <v>0</v>
      </c>
      <c r="AC79" s="1114"/>
      <c r="AD79" s="1114"/>
      <c r="AE79" s="1114"/>
      <c r="AF79" s="1114"/>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2" workbookViewId="0">
      <selection activeCell="F97" sqref="F97"/>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67" t="s">
        <v>1812</v>
      </c>
      <c r="B1" s="1668"/>
      <c r="C1" s="1668"/>
      <c r="D1" s="1668"/>
      <c r="E1" s="1668"/>
      <c r="F1" s="1668"/>
      <c r="G1" s="1668"/>
      <c r="H1" s="1668"/>
      <c r="I1" s="1668"/>
      <c r="J1" s="1669"/>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738000</v>
      </c>
      <c r="C4" s="582">
        <f>+B4</f>
        <v>738000</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738000</v>
      </c>
      <c r="C8" s="581">
        <f>SUM(C4:C7)</f>
        <v>738000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738000</v>
      </c>
      <c r="C12" s="581">
        <f>SUM(C8+C11)</f>
        <v>738000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2251190</v>
      </c>
      <c r="C28" s="582">
        <f t="shared" ref="C28:C36" si="0">+B28</f>
        <v>2251190</v>
      </c>
      <c r="D28" s="582"/>
      <c r="E28" s="581">
        <f>'Sources and Uses Budget'!S29</f>
        <v>2251190</v>
      </c>
      <c r="F28" s="582">
        <f t="shared" ref="F28:F36" si="1">+E28</f>
        <v>2251190</v>
      </c>
      <c r="G28" s="582"/>
      <c r="H28" s="581">
        <f>'Sources and Uses Budget'!T29</f>
        <v>0</v>
      </c>
      <c r="I28" s="582"/>
      <c r="J28" s="582"/>
      <c r="K28" s="576"/>
    </row>
    <row r="29" spans="1:11" s="251" customFormat="1">
      <c r="A29" s="237" t="s">
        <v>911</v>
      </c>
      <c r="B29" s="581">
        <f>'Sources and Uses Budget'!C30</f>
        <v>10234892</v>
      </c>
      <c r="C29" s="582">
        <f t="shared" si="0"/>
        <v>10234892</v>
      </c>
      <c r="D29" s="582"/>
      <c r="E29" s="581">
        <f>'Sources and Uses Budget'!S30</f>
        <v>10234892</v>
      </c>
      <c r="F29" s="582">
        <f t="shared" si="1"/>
        <v>10234892</v>
      </c>
      <c r="G29" s="582"/>
      <c r="H29" s="581">
        <f>'Sources and Uses Budget'!T30</f>
        <v>0</v>
      </c>
      <c r="I29" s="582"/>
      <c r="J29" s="582"/>
      <c r="K29" s="576"/>
    </row>
    <row r="30" spans="1:11" s="251" customFormat="1">
      <c r="A30" s="237" t="s">
        <v>912</v>
      </c>
      <c r="B30" s="581">
        <f>'Sources and Uses Budget'!C31</f>
        <v>749165</v>
      </c>
      <c r="C30" s="582">
        <f t="shared" si="0"/>
        <v>749165</v>
      </c>
      <c r="D30" s="582"/>
      <c r="E30" s="581">
        <f>'Sources and Uses Budget'!S31</f>
        <v>749165</v>
      </c>
      <c r="F30" s="582">
        <f t="shared" si="1"/>
        <v>749165</v>
      </c>
      <c r="G30" s="582"/>
      <c r="H30" s="581">
        <f>'Sources and Uses Budget'!T31</f>
        <v>0</v>
      </c>
      <c r="I30" s="582"/>
      <c r="J30" s="582"/>
      <c r="K30" s="576"/>
    </row>
    <row r="31" spans="1:11" s="251" customFormat="1">
      <c r="A31" s="237" t="s">
        <v>913</v>
      </c>
      <c r="B31" s="581">
        <f>'Sources and Uses Budget'!C32</f>
        <v>264705</v>
      </c>
      <c r="C31" s="582">
        <f t="shared" si="0"/>
        <v>264705</v>
      </c>
      <c r="D31" s="582"/>
      <c r="E31" s="581">
        <f>'Sources and Uses Budget'!S32</f>
        <v>264705</v>
      </c>
      <c r="F31" s="582">
        <f t="shared" si="1"/>
        <v>264705</v>
      </c>
      <c r="G31" s="582"/>
      <c r="H31" s="581">
        <f>'Sources and Uses Budget'!T32</f>
        <v>0</v>
      </c>
      <c r="I31" s="582"/>
      <c r="J31" s="582"/>
      <c r="K31" s="576"/>
    </row>
    <row r="32" spans="1:11" s="251" customFormat="1">
      <c r="A32" s="237" t="s">
        <v>914</v>
      </c>
      <c r="B32" s="581">
        <f>'Sources and Uses Budget'!C33</f>
        <v>794115</v>
      </c>
      <c r="C32" s="582">
        <f t="shared" si="0"/>
        <v>794115</v>
      </c>
      <c r="D32" s="582"/>
      <c r="E32" s="581">
        <f>'Sources and Uses Budget'!S33</f>
        <v>794115</v>
      </c>
      <c r="F32" s="582">
        <f t="shared" si="1"/>
        <v>794115</v>
      </c>
      <c r="G32" s="582"/>
      <c r="H32" s="581">
        <f>'Sources and Uses Budget'!T33</f>
        <v>0</v>
      </c>
      <c r="I32" s="582"/>
      <c r="J32" s="582"/>
      <c r="K32" s="576"/>
    </row>
    <row r="33" spans="1:11" s="251" customFormat="1">
      <c r="A33" s="237" t="s">
        <v>915</v>
      </c>
      <c r="B33" s="581">
        <f>'Sources and Uses Budget'!C34</f>
        <v>0</v>
      </c>
      <c r="C33" s="582">
        <f t="shared" si="0"/>
        <v>0</v>
      </c>
      <c r="D33" s="582"/>
      <c r="E33" s="581">
        <f>'Sources and Uses Budget'!S34</f>
        <v>0</v>
      </c>
      <c r="F33" s="582">
        <f t="shared" si="1"/>
        <v>0</v>
      </c>
      <c r="G33" s="582"/>
      <c r="H33" s="581">
        <f>'Sources and Uses Budget'!T34</f>
        <v>0</v>
      </c>
      <c r="I33" s="582"/>
      <c r="J33" s="582"/>
      <c r="K33" s="576"/>
    </row>
    <row r="34" spans="1:11" s="251" customFormat="1">
      <c r="A34" s="237" t="s">
        <v>916</v>
      </c>
      <c r="B34" s="581">
        <f>'Sources and Uses Budget'!C35</f>
        <v>428822</v>
      </c>
      <c r="C34" s="582">
        <f t="shared" si="0"/>
        <v>428822</v>
      </c>
      <c r="D34" s="582"/>
      <c r="E34" s="581">
        <f>'Sources and Uses Budget'!S35</f>
        <v>428822</v>
      </c>
      <c r="F34" s="582">
        <f t="shared" si="1"/>
        <v>428822</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0"/>
        <v>0</v>
      </c>
      <c r="D35" s="582"/>
      <c r="E35" s="581">
        <f>'Sources and Uses Budget'!S36</f>
        <v>0</v>
      </c>
      <c r="F35" s="582">
        <f t="shared" si="1"/>
        <v>0</v>
      </c>
      <c r="G35" s="582"/>
      <c r="H35" s="581">
        <f>'Sources and Uses Budget'!T36</f>
        <v>0</v>
      </c>
      <c r="I35" s="582"/>
      <c r="J35" s="582"/>
      <c r="K35" s="576"/>
    </row>
    <row r="36" spans="1:11" s="251" customFormat="1">
      <c r="A36" s="237" t="str">
        <f>'Sources and Uses Budget'!$A37</f>
        <v>Other: (Specify)</v>
      </c>
      <c r="B36" s="581">
        <f>'Sources and Uses Budget'!C37</f>
        <v>0</v>
      </c>
      <c r="C36" s="582">
        <f t="shared" si="0"/>
        <v>0</v>
      </c>
      <c r="D36" s="582"/>
      <c r="E36" s="581">
        <f>'Sources and Uses Budget'!S37</f>
        <v>0</v>
      </c>
      <c r="F36" s="582">
        <f t="shared" si="1"/>
        <v>0</v>
      </c>
      <c r="G36" s="582"/>
      <c r="H36" s="581">
        <f>'Sources and Uses Budget'!T37</f>
        <v>0</v>
      </c>
      <c r="I36" s="582"/>
      <c r="J36" s="582"/>
      <c r="K36" s="576"/>
    </row>
    <row r="37" spans="1:11" s="251" customFormat="1">
      <c r="A37" s="241" t="s">
        <v>919</v>
      </c>
      <c r="B37" s="581">
        <f>'Sources and Uses Budget'!C38</f>
        <v>14722889</v>
      </c>
      <c r="C37" s="581">
        <f>SUM(C28:C36)</f>
        <v>14722889</v>
      </c>
      <c r="D37" s="581">
        <f>SUM(D28:D36)</f>
        <v>0</v>
      </c>
      <c r="E37" s="581">
        <f>'Sources and Uses Budget'!S38</f>
        <v>14722889</v>
      </c>
      <c r="F37" s="584">
        <f>SUM(F28:F36)</f>
        <v>14722889</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650000</v>
      </c>
      <c r="C39" s="582">
        <f t="shared" ref="C39:C40" si="2">+B39</f>
        <v>650000</v>
      </c>
      <c r="D39" s="582"/>
      <c r="E39" s="581">
        <f>'Sources and Uses Budget'!S40</f>
        <v>650000</v>
      </c>
      <c r="F39" s="582">
        <f t="shared" ref="F39:F40" si="3">+E39</f>
        <v>650000</v>
      </c>
      <c r="G39" s="582"/>
      <c r="H39" s="581">
        <f>'Sources and Uses Budget'!T40</f>
        <v>0</v>
      </c>
      <c r="I39" s="582"/>
      <c r="J39" s="582"/>
      <c r="K39" s="576"/>
    </row>
    <row r="40" spans="1:11" s="251" customFormat="1">
      <c r="A40" s="237" t="s">
        <v>922</v>
      </c>
      <c r="B40" s="581">
        <f>'Sources and Uses Budget'!C41</f>
        <v>0</v>
      </c>
      <c r="C40" s="582">
        <f t="shared" si="2"/>
        <v>0</v>
      </c>
      <c r="D40" s="582"/>
      <c r="E40" s="581">
        <f>'Sources and Uses Budget'!S41</f>
        <v>0</v>
      </c>
      <c r="F40" s="582">
        <f t="shared" si="3"/>
        <v>0</v>
      </c>
      <c r="G40" s="582"/>
      <c r="H40" s="581">
        <f>'Sources and Uses Budget'!T41</f>
        <v>0</v>
      </c>
      <c r="I40" s="582"/>
      <c r="J40" s="582"/>
      <c r="K40" s="576"/>
    </row>
    <row r="41" spans="1:11" s="251" customFormat="1">
      <c r="A41" s="241" t="s">
        <v>923</v>
      </c>
      <c r="B41" s="581">
        <f>'Sources and Uses Budget'!C42</f>
        <v>650000</v>
      </c>
      <c r="C41" s="581">
        <f>SUM(C38:C40)</f>
        <v>650000</v>
      </c>
      <c r="D41" s="581">
        <f>SUM(D38:D40)</f>
        <v>0</v>
      </c>
      <c r="E41" s="581">
        <f>'Sources and Uses Budget'!S42</f>
        <v>650000</v>
      </c>
      <c r="F41" s="584">
        <f>SUM(F39:F40)</f>
        <v>650000</v>
      </c>
      <c r="G41" s="584">
        <f>SUM(G39:G40)</f>
        <v>0</v>
      </c>
      <c r="H41" s="581">
        <f>'Sources and Uses Budget'!T42</f>
        <v>0</v>
      </c>
      <c r="I41" s="584">
        <f>SUM(I39:I40)</f>
        <v>0</v>
      </c>
      <c r="J41" s="584">
        <f>SUM(J39:J40)</f>
        <v>0</v>
      </c>
      <c r="K41" s="576"/>
    </row>
    <row r="42" spans="1:11" s="251" customFormat="1">
      <c r="A42" s="241" t="s">
        <v>924</v>
      </c>
      <c r="B42" s="581">
        <f>'Sources and Uses Budget'!C43</f>
        <v>150000</v>
      </c>
      <c r="C42" s="582">
        <f>+B42</f>
        <v>150000</v>
      </c>
      <c r="D42" s="582"/>
      <c r="E42" s="581">
        <f>'Sources and Uses Budget'!S43</f>
        <v>150000</v>
      </c>
      <c r="F42" s="582">
        <f>+E42</f>
        <v>150000</v>
      </c>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1415241</v>
      </c>
      <c r="C44" s="582">
        <f t="shared" ref="C44:C51" si="4">+B44</f>
        <v>1415241</v>
      </c>
      <c r="D44" s="582"/>
      <c r="E44" s="581">
        <f>'Sources and Uses Budget'!S45</f>
        <v>1000000</v>
      </c>
      <c r="F44" s="582">
        <f t="shared" ref="F44:F51" si="5">+E44</f>
        <v>1000000</v>
      </c>
      <c r="G44" s="582"/>
      <c r="H44" s="581">
        <f>'Sources and Uses Budget'!T45</f>
        <v>0</v>
      </c>
      <c r="I44" s="582"/>
      <c r="J44" s="582"/>
      <c r="K44" s="576"/>
    </row>
    <row r="45" spans="1:11" s="251" customFormat="1">
      <c r="A45" s="237" t="s">
        <v>927</v>
      </c>
      <c r="B45" s="581">
        <f>'Sources and Uses Budget'!C46</f>
        <v>0</v>
      </c>
      <c r="C45" s="582">
        <f t="shared" si="4"/>
        <v>0</v>
      </c>
      <c r="D45" s="582"/>
      <c r="E45" s="581">
        <f>'Sources and Uses Budget'!S46</f>
        <v>0</v>
      </c>
      <c r="F45" s="582">
        <f t="shared" si="5"/>
        <v>0</v>
      </c>
      <c r="G45" s="582"/>
      <c r="H45" s="581">
        <f>'Sources and Uses Budget'!T46</f>
        <v>0</v>
      </c>
      <c r="I45" s="582"/>
      <c r="J45" s="582"/>
      <c r="K45" s="576"/>
    </row>
    <row r="46" spans="1:11" s="251" customFormat="1" ht="12" customHeight="1">
      <c r="A46" s="237" t="s">
        <v>928</v>
      </c>
      <c r="B46" s="581">
        <f>'Sources and Uses Budget'!C47</f>
        <v>35000</v>
      </c>
      <c r="C46" s="582">
        <f t="shared" si="4"/>
        <v>35000</v>
      </c>
      <c r="D46" s="582"/>
      <c r="E46" s="581">
        <f>'Sources and Uses Budget'!S47</f>
        <v>35000</v>
      </c>
      <c r="F46" s="582">
        <f t="shared" si="5"/>
        <v>35000</v>
      </c>
      <c r="G46" s="582"/>
      <c r="H46" s="581">
        <f>'Sources and Uses Budget'!T47</f>
        <v>0</v>
      </c>
      <c r="I46" s="582"/>
      <c r="J46" s="582"/>
      <c r="K46" s="576"/>
    </row>
    <row r="47" spans="1:11" s="251" customFormat="1">
      <c r="A47" s="237" t="s">
        <v>929</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c r="A48" s="237" t="s">
        <v>932</v>
      </c>
      <c r="B48" s="581">
        <f>'Sources and Uses Budget'!C49</f>
        <v>40000</v>
      </c>
      <c r="C48" s="582">
        <f t="shared" si="4"/>
        <v>40000</v>
      </c>
      <c r="D48" s="582"/>
      <c r="E48" s="581">
        <f>'Sources and Uses Budget'!S49</f>
        <v>40000</v>
      </c>
      <c r="F48" s="582">
        <f t="shared" si="5"/>
        <v>40000</v>
      </c>
      <c r="G48" s="582"/>
      <c r="H48" s="581">
        <f>'Sources and Uses Budget'!T49</f>
        <v>0</v>
      </c>
      <c r="I48" s="582"/>
      <c r="J48" s="582"/>
      <c r="K48" s="576"/>
    </row>
    <row r="49" spans="1:11" s="251" customFormat="1">
      <c r="A49" s="237" t="s">
        <v>930</v>
      </c>
      <c r="B49" s="581">
        <f>'Sources and Uses Budget'!C50</f>
        <v>14760</v>
      </c>
      <c r="C49" s="582">
        <f t="shared" si="4"/>
        <v>14760</v>
      </c>
      <c r="D49" s="582"/>
      <c r="E49" s="581">
        <f>'Sources and Uses Budget'!S50</f>
        <v>14760</v>
      </c>
      <c r="F49" s="582">
        <f t="shared" si="5"/>
        <v>14760</v>
      </c>
      <c r="G49" s="582"/>
      <c r="H49" s="581">
        <f>'Sources and Uses Budget'!T50</f>
        <v>0</v>
      </c>
      <c r="I49" s="582"/>
      <c r="J49" s="582"/>
      <c r="K49" s="576"/>
    </row>
    <row r="50" spans="1:11" s="251" customFormat="1">
      <c r="A50" s="237" t="s">
        <v>931</v>
      </c>
      <c r="B50" s="581">
        <f>'Sources and Uses Budget'!C51</f>
        <v>0</v>
      </c>
      <c r="C50" s="582">
        <f t="shared" si="4"/>
        <v>0</v>
      </c>
      <c r="D50" s="582"/>
      <c r="E50" s="581">
        <f>'Sources and Uses Budget'!S51</f>
        <v>0</v>
      </c>
      <c r="F50" s="582">
        <f t="shared" si="5"/>
        <v>0</v>
      </c>
      <c r="G50" s="582"/>
      <c r="H50" s="581">
        <f>'Sources and Uses Budget'!T51</f>
        <v>0</v>
      </c>
      <c r="I50" s="582"/>
      <c r="J50" s="582"/>
      <c r="K50" s="576"/>
    </row>
    <row r="51" spans="1:11" s="251" customFormat="1">
      <c r="A51" s="237" t="str">
        <f>'Sources and Uses Budget'!$A52</f>
        <v>Inspection Fees</v>
      </c>
      <c r="B51" s="581">
        <f>'Sources and Uses Budget'!C52</f>
        <v>20000</v>
      </c>
      <c r="C51" s="582">
        <f t="shared" si="4"/>
        <v>20000</v>
      </c>
      <c r="D51" s="582"/>
      <c r="E51" s="581">
        <f>'Sources and Uses Budget'!S52</f>
        <v>20000</v>
      </c>
      <c r="F51" s="582">
        <f t="shared" si="5"/>
        <v>20000</v>
      </c>
      <c r="G51" s="582"/>
      <c r="H51" s="581">
        <f>'Sources and Uses Budget'!T52</f>
        <v>0</v>
      </c>
      <c r="I51" s="582"/>
      <c r="J51" s="582"/>
      <c r="K51" s="576"/>
    </row>
    <row r="52" spans="1:11" s="574" customFormat="1">
      <c r="A52" s="241" t="s">
        <v>933</v>
      </c>
      <c r="B52" s="581">
        <f>'Sources and Uses Budget'!C53</f>
        <v>1525001</v>
      </c>
      <c r="C52" s="584">
        <f>SUM(C44:C51)</f>
        <v>1525001</v>
      </c>
      <c r="D52" s="584">
        <f>SUM(D44:D51)</f>
        <v>0</v>
      </c>
      <c r="E52" s="581">
        <f>'Sources and Uses Budget'!S53</f>
        <v>1109760</v>
      </c>
      <c r="F52" s="584">
        <f>SUM(F44:F51)</f>
        <v>1109760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f t="shared" ref="C54:C57" si="6">+B54</f>
        <v>0</v>
      </c>
      <c r="D54" s="582"/>
      <c r="E54" s="583"/>
      <c r="F54" s="583"/>
      <c r="G54" s="583"/>
      <c r="H54" s="583"/>
      <c r="I54" s="583"/>
      <c r="J54" s="583"/>
      <c r="K54" s="576"/>
    </row>
    <row r="55" spans="1:11" s="251" customFormat="1" ht="12" customHeight="1">
      <c r="A55" s="237" t="s">
        <v>928</v>
      </c>
      <c r="B55" s="581">
        <f>'Sources and Uses Budget'!C56</f>
        <v>10000</v>
      </c>
      <c r="C55" s="582">
        <f t="shared" si="6"/>
        <v>10000</v>
      </c>
      <c r="D55" s="582"/>
      <c r="E55" s="583"/>
      <c r="F55" s="583"/>
      <c r="G55" s="583"/>
      <c r="H55" s="583"/>
      <c r="I55" s="583"/>
      <c r="J55" s="583"/>
      <c r="K55" s="576"/>
    </row>
    <row r="56" spans="1:11" s="251" customFormat="1">
      <c r="A56" s="237" t="s">
        <v>932</v>
      </c>
      <c r="B56" s="581">
        <f>'Sources and Uses Budget'!C57</f>
        <v>5000</v>
      </c>
      <c r="C56" s="582">
        <f t="shared" si="6"/>
        <v>5000</v>
      </c>
      <c r="D56" s="582"/>
      <c r="E56" s="583"/>
      <c r="F56" s="583"/>
      <c r="G56" s="583"/>
      <c r="H56" s="583"/>
      <c r="I56" s="583"/>
      <c r="J56" s="583"/>
      <c r="K56" s="576"/>
    </row>
    <row r="57" spans="1:11" s="251" customFormat="1">
      <c r="A57" s="237" t="s">
        <v>930</v>
      </c>
      <c r="B57" s="581">
        <f>'Sources and Uses Budget'!C58</f>
        <v>0</v>
      </c>
      <c r="C57" s="582">
        <f t="shared" si="6"/>
        <v>0</v>
      </c>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15000</v>
      </c>
      <c r="C60" s="581">
        <f>SUM(C54:C59)</f>
        <v>15000</v>
      </c>
      <c r="D60" s="581">
        <f>SUM(D54:D59)</f>
        <v>0</v>
      </c>
      <c r="E60" s="583"/>
      <c r="F60" s="583"/>
      <c r="G60" s="583"/>
      <c r="H60" s="583"/>
      <c r="I60" s="583"/>
      <c r="J60" s="583"/>
      <c r="K60" s="576"/>
    </row>
    <row r="61" spans="1:11" s="251" customFormat="1">
      <c r="A61" s="247" t="s">
        <v>501</v>
      </c>
      <c r="B61" s="581">
        <f>'Sources and Uses Budget'!C62</f>
        <v>17800890</v>
      </c>
      <c r="C61" s="581">
        <f>SUM(C8+C11+C13+C14+C15+C25+C26+C37+C41+C42+C52+C60)</f>
        <v>17800890</v>
      </c>
      <c r="D61" s="581">
        <f>SUM(D8+D11+D13+D14+D15+D25+D26+D37+D41+D42+D52+D60)</f>
        <v>0</v>
      </c>
      <c r="E61" s="581">
        <f>'Sources and Uses Budget'!S62</f>
        <v>16632649</v>
      </c>
      <c r="F61" s="581">
        <f>SUM(F10+F13+F14+F15+F25+F26+F37+F41+F42+F52)</f>
        <v>16632649</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65000</v>
      </c>
      <c r="C63" s="582">
        <f t="shared" ref="C63:C67" si="7">+B63</f>
        <v>65000</v>
      </c>
      <c r="D63" s="582"/>
      <c r="E63" s="581">
        <f>'Sources and Uses Budget'!S64</f>
        <v>65000</v>
      </c>
      <c r="F63" s="582">
        <f t="shared" ref="F63:F67" si="8">+E63</f>
        <v>65000</v>
      </c>
      <c r="G63" s="582"/>
      <c r="H63" s="581">
        <f>'Sources and Uses Budget'!T64</f>
        <v>0</v>
      </c>
      <c r="I63" s="582"/>
      <c r="J63" s="582"/>
      <c r="K63" s="576"/>
    </row>
    <row r="64" spans="1:11" s="251" customFormat="1" ht="24">
      <c r="A64" s="237" t="s">
        <v>1942</v>
      </c>
      <c r="B64" s="581">
        <f>'Sources and Uses Budget'!C65</f>
        <v>0</v>
      </c>
      <c r="C64" s="582">
        <f t="shared" si="7"/>
        <v>0</v>
      </c>
      <c r="D64" s="582"/>
      <c r="E64" s="581">
        <f>'Sources and Uses Budget'!S65</f>
        <v>0</v>
      </c>
      <c r="F64" s="582">
        <f t="shared" si="8"/>
        <v>0</v>
      </c>
      <c r="G64" s="582"/>
      <c r="H64" s="581">
        <f>'Sources and Uses Budget'!T65</f>
        <v>0</v>
      </c>
      <c r="I64" s="582"/>
      <c r="J64" s="582"/>
      <c r="K64" s="576"/>
    </row>
    <row r="65" spans="1:11" s="251" customFormat="1" ht="24">
      <c r="A65" s="237" t="s">
        <v>1943</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c r="A66" s="237" t="s">
        <v>1944</v>
      </c>
      <c r="B66" s="581">
        <f>'Sources and Uses Budget'!C67</f>
        <v>0</v>
      </c>
      <c r="C66" s="582">
        <f t="shared" si="7"/>
        <v>0</v>
      </c>
      <c r="D66" s="582"/>
      <c r="E66" s="581">
        <f>'Sources and Uses Budget'!S67</f>
        <v>0</v>
      </c>
      <c r="F66" s="582">
        <f t="shared" si="8"/>
        <v>0</v>
      </c>
      <c r="G66" s="582"/>
      <c r="H66" s="581">
        <f>'Sources and Uses Budget'!T67</f>
        <v>0</v>
      </c>
      <c r="I66" s="582"/>
      <c r="J66" s="582"/>
      <c r="K66" s="576"/>
    </row>
    <row r="67" spans="1:11" s="251" customFormat="1">
      <c r="A67" s="237" t="str">
        <f>'Sources and Uses Budget'!$A68</f>
        <v xml:space="preserve">Borrower's Attorney </v>
      </c>
      <c r="B67" s="581">
        <f>'Sources and Uses Budget'!C68</f>
        <v>50000</v>
      </c>
      <c r="C67" s="582">
        <f t="shared" si="7"/>
        <v>50000</v>
      </c>
      <c r="D67" s="582"/>
      <c r="E67" s="581">
        <f>'Sources and Uses Budget'!S68</f>
        <v>50000</v>
      </c>
      <c r="F67" s="582">
        <f t="shared" si="8"/>
        <v>50000</v>
      </c>
      <c r="G67" s="582"/>
      <c r="H67" s="581">
        <f>'Sources and Uses Budget'!T68</f>
        <v>0</v>
      </c>
      <c r="I67" s="582"/>
      <c r="J67" s="582"/>
      <c r="K67" s="576"/>
    </row>
    <row r="68" spans="1:11" s="251" customFormat="1">
      <c r="A68" s="241" t="s">
        <v>1945</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30000</v>
      </c>
      <c r="C70" s="582">
        <f t="shared" ref="C70:C74" si="9">+B70</f>
        <v>30000</v>
      </c>
      <c r="D70" s="582"/>
      <c r="E70" s="583"/>
      <c r="F70" s="583"/>
      <c r="G70" s="583"/>
      <c r="H70" s="583"/>
      <c r="I70" s="583"/>
      <c r="J70" s="583"/>
      <c r="K70" s="576"/>
    </row>
    <row r="71" spans="1:11" s="251" customFormat="1">
      <c r="A71" s="237" t="s">
        <v>287</v>
      </c>
      <c r="B71" s="581">
        <f>'Sources and Uses Budget'!C72</f>
        <v>0</v>
      </c>
      <c r="C71" s="582">
        <f t="shared" si="9"/>
        <v>0</v>
      </c>
      <c r="D71" s="582"/>
      <c r="E71" s="583"/>
      <c r="F71" s="583"/>
      <c r="G71" s="583"/>
      <c r="H71" s="583"/>
      <c r="I71" s="583"/>
      <c r="J71" s="583"/>
      <c r="K71" s="576"/>
    </row>
    <row r="72" spans="1:11" s="251" customFormat="1">
      <c r="A72" s="453" t="s">
        <v>1239</v>
      </c>
      <c r="B72" s="581">
        <f>'Sources and Uses Budget'!C73</f>
        <v>0</v>
      </c>
      <c r="C72" s="582">
        <f t="shared" si="9"/>
        <v>0</v>
      </c>
      <c r="D72" s="582"/>
      <c r="E72" s="583"/>
      <c r="F72" s="583"/>
      <c r="G72" s="583"/>
      <c r="H72" s="583"/>
      <c r="I72" s="583"/>
      <c r="J72" s="583"/>
      <c r="K72" s="576"/>
    </row>
    <row r="73" spans="1:11" s="251" customFormat="1">
      <c r="A73" s="237" t="s">
        <v>288</v>
      </c>
      <c r="B73" s="581">
        <f>'Sources and Uses Budget'!C74</f>
        <v>89861</v>
      </c>
      <c r="C73" s="582">
        <f t="shared" si="9"/>
        <v>89861</v>
      </c>
      <c r="D73" s="582"/>
      <c r="E73" s="583"/>
      <c r="F73" s="583"/>
      <c r="G73" s="583"/>
      <c r="H73" s="583"/>
      <c r="I73" s="583"/>
      <c r="J73" s="583"/>
      <c r="K73" s="576"/>
    </row>
    <row r="74" spans="1:11" s="251" customFormat="1">
      <c r="A74" s="237" t="str">
        <f>'Sources and Uses Budget'!$A75</f>
        <v>NPLH COSR</v>
      </c>
      <c r="B74" s="581">
        <f>'Sources and Uses Budget'!C75</f>
        <v>4077205</v>
      </c>
      <c r="C74" s="582">
        <f t="shared" si="9"/>
        <v>4077205</v>
      </c>
      <c r="D74" s="582"/>
      <c r="E74" s="583"/>
      <c r="F74" s="583"/>
      <c r="G74" s="583"/>
      <c r="H74" s="583"/>
      <c r="I74" s="583"/>
      <c r="J74" s="583"/>
      <c r="K74" s="576"/>
    </row>
    <row r="75" spans="1:11" s="251" customFormat="1">
      <c r="A75" s="241" t="s">
        <v>289</v>
      </c>
      <c r="B75" s="581">
        <f>'Sources and Uses Budget'!C76</f>
        <v>4197066</v>
      </c>
      <c r="C75" s="581">
        <f>SUM(C70:C74)</f>
        <v>4197066</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736144</v>
      </c>
      <c r="C77" s="582">
        <f t="shared" ref="C77:C78" si="10">+B77</f>
        <v>736144</v>
      </c>
      <c r="D77" s="582"/>
      <c r="E77" s="581">
        <f>'Sources and Uses Budget'!S78</f>
        <v>736144</v>
      </c>
      <c r="F77" s="582">
        <f t="shared" ref="F77:F78" si="11">+E77</f>
        <v>736144</v>
      </c>
      <c r="G77" s="582"/>
      <c r="H77" s="581">
        <f>'Sources and Uses Budget'!T78</f>
        <v>0</v>
      </c>
      <c r="I77" s="582"/>
      <c r="J77" s="582"/>
      <c r="K77" s="576"/>
    </row>
    <row r="78" spans="1:11" s="251" customFormat="1">
      <c r="A78" s="237" t="s">
        <v>538</v>
      </c>
      <c r="B78" s="581">
        <f>'Sources and Uses Budget'!C79</f>
        <v>181924</v>
      </c>
      <c r="C78" s="582">
        <f t="shared" si="10"/>
        <v>181924</v>
      </c>
      <c r="D78" s="582"/>
      <c r="E78" s="581">
        <f>'Sources and Uses Budget'!S79</f>
        <v>181924</v>
      </c>
      <c r="F78" s="582">
        <f t="shared" si="11"/>
        <v>181924</v>
      </c>
      <c r="G78" s="582"/>
      <c r="H78" s="581">
        <f>'Sources and Uses Budget'!T79</f>
        <v>0</v>
      </c>
      <c r="I78" s="582"/>
      <c r="J78" s="582"/>
      <c r="K78" s="576"/>
    </row>
    <row r="79" spans="1:11" s="251" customFormat="1">
      <c r="A79" s="241" t="s">
        <v>1734</v>
      </c>
      <c r="B79" s="581">
        <f>'Sources and Uses Budget'!C80</f>
        <v>918068</v>
      </c>
      <c r="C79" s="664">
        <f>SUM(C77:C78)</f>
        <v>918068</v>
      </c>
      <c r="D79" s="664">
        <f>SUM(D77:D78)</f>
        <v>0</v>
      </c>
      <c r="E79" s="581">
        <f>'Sources and Uses Budget'!S80</f>
        <v>918068</v>
      </c>
      <c r="F79" s="664">
        <f>SUM(F77:F78)</f>
        <v>918068</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69844</v>
      </c>
      <c r="C81" s="582">
        <f t="shared" ref="C81:C93" si="12">+B81</f>
        <v>69844</v>
      </c>
      <c r="D81" s="582"/>
      <c r="E81" s="583"/>
      <c r="F81" s="583"/>
      <c r="G81" s="583"/>
      <c r="H81" s="583"/>
      <c r="I81" s="583"/>
      <c r="J81" s="583"/>
      <c r="K81" s="576"/>
    </row>
    <row r="82" spans="1:11" s="251" customFormat="1">
      <c r="A82" s="237" t="s">
        <v>516</v>
      </c>
      <c r="B82" s="581">
        <f>'Sources and Uses Budget'!C83</f>
        <v>7000</v>
      </c>
      <c r="C82" s="582">
        <f t="shared" si="12"/>
        <v>7000</v>
      </c>
      <c r="D82" s="582"/>
      <c r="E82" s="581">
        <f>'Sources and Uses Budget'!S83</f>
        <v>7000</v>
      </c>
      <c r="F82" s="582">
        <f t="shared" ref="F82:F85" si="13">+E82</f>
        <v>7000</v>
      </c>
      <c r="G82" s="582"/>
      <c r="H82" s="581">
        <f>'Sources and Uses Budget'!T83</f>
        <v>0</v>
      </c>
      <c r="I82" s="582"/>
      <c r="J82" s="582"/>
      <c r="K82" s="576"/>
    </row>
    <row r="83" spans="1:11" s="251" customFormat="1">
      <c r="A83" s="237" t="s">
        <v>517</v>
      </c>
      <c r="B83" s="581">
        <f>'Sources and Uses Budget'!C84</f>
        <v>1660913</v>
      </c>
      <c r="C83" s="582">
        <f t="shared" si="12"/>
        <v>1660913</v>
      </c>
      <c r="D83" s="582"/>
      <c r="E83" s="581">
        <f>'Sources and Uses Budget'!S84</f>
        <v>1660913</v>
      </c>
      <c r="F83" s="582">
        <f t="shared" si="13"/>
        <v>1660913</v>
      </c>
      <c r="G83" s="582"/>
      <c r="H83" s="581">
        <f>'Sources and Uses Budget'!T84</f>
        <v>0</v>
      </c>
      <c r="I83" s="582"/>
      <c r="J83" s="582"/>
      <c r="K83" s="576"/>
    </row>
    <row r="84" spans="1:11" s="251" customFormat="1">
      <c r="A84" s="237" t="s">
        <v>518</v>
      </c>
      <c r="B84" s="581">
        <f>'Sources and Uses Budget'!C85</f>
        <v>659999</v>
      </c>
      <c r="C84" s="582">
        <f t="shared" si="12"/>
        <v>659999</v>
      </c>
      <c r="D84" s="582"/>
      <c r="E84" s="581">
        <f>'Sources and Uses Budget'!S85</f>
        <v>659999</v>
      </c>
      <c r="F84" s="582">
        <f t="shared" si="13"/>
        <v>659999</v>
      </c>
      <c r="G84" s="582"/>
      <c r="H84" s="581">
        <f>'Sources and Uses Budget'!T85</f>
        <v>0</v>
      </c>
      <c r="I84" s="582"/>
      <c r="J84" s="582"/>
      <c r="K84" s="576"/>
    </row>
    <row r="85" spans="1:11" s="251" customFormat="1">
      <c r="A85" s="237" t="s">
        <v>519</v>
      </c>
      <c r="B85" s="581">
        <f>'Sources and Uses Budget'!C86</f>
        <v>40000</v>
      </c>
      <c r="C85" s="582">
        <f t="shared" si="12"/>
        <v>40000</v>
      </c>
      <c r="D85" s="582"/>
      <c r="E85" s="581">
        <f>'Sources and Uses Budget'!S86</f>
        <v>40000</v>
      </c>
      <c r="F85" s="582">
        <f t="shared" si="13"/>
        <v>40000</v>
      </c>
      <c r="G85" s="582"/>
      <c r="H85" s="581">
        <f>'Sources and Uses Budget'!T86</f>
        <v>0</v>
      </c>
      <c r="I85" s="582"/>
      <c r="J85" s="582"/>
      <c r="K85" s="576"/>
    </row>
    <row r="86" spans="1:11" s="251" customFormat="1">
      <c r="A86" s="237" t="s">
        <v>520</v>
      </c>
      <c r="B86" s="581">
        <f>'Sources and Uses Budget'!C87</f>
        <v>229490</v>
      </c>
      <c r="C86" s="582">
        <f t="shared" si="12"/>
        <v>229490</v>
      </c>
      <c r="D86" s="582"/>
      <c r="E86" s="583"/>
      <c r="F86" s="583"/>
      <c r="G86" s="583"/>
      <c r="H86" s="583"/>
      <c r="I86" s="583"/>
      <c r="J86" s="583"/>
      <c r="K86" s="576"/>
    </row>
    <row r="87" spans="1:11" s="251" customFormat="1">
      <c r="A87" s="237" t="s">
        <v>521</v>
      </c>
      <c r="B87" s="581">
        <f>'Sources and Uses Budget'!C88</f>
        <v>40000</v>
      </c>
      <c r="C87" s="582">
        <f t="shared" si="12"/>
        <v>40000</v>
      </c>
      <c r="D87" s="582"/>
      <c r="E87" s="581">
        <f>'Sources and Uses Budget'!S88</f>
        <v>40000</v>
      </c>
      <c r="F87" s="582">
        <f t="shared" ref="F87:F93" si="14">+E87</f>
        <v>40000</v>
      </c>
      <c r="G87" s="582"/>
      <c r="H87" s="581">
        <f>'Sources and Uses Budget'!T88</f>
        <v>0</v>
      </c>
      <c r="I87" s="582"/>
      <c r="J87" s="582"/>
      <c r="K87" s="576"/>
    </row>
    <row r="88" spans="1:11" s="251" customFormat="1">
      <c r="A88" s="237" t="s">
        <v>522</v>
      </c>
      <c r="B88" s="581">
        <f>'Sources and Uses Budget'!C89</f>
        <v>10000</v>
      </c>
      <c r="C88" s="582">
        <f t="shared" si="12"/>
        <v>10000</v>
      </c>
      <c r="D88" s="582"/>
      <c r="E88" s="581">
        <f>'Sources and Uses Budget'!S89</f>
        <v>10000</v>
      </c>
      <c r="F88" s="582">
        <f t="shared" si="14"/>
        <v>10000</v>
      </c>
      <c r="G88" s="582"/>
      <c r="H88" s="581">
        <f>'Sources and Uses Budget'!T89</f>
        <v>0</v>
      </c>
      <c r="I88" s="582"/>
      <c r="J88" s="582"/>
      <c r="K88" s="576"/>
    </row>
    <row r="89" spans="1:11" s="251" customFormat="1">
      <c r="A89" s="237" t="s">
        <v>1315</v>
      </c>
      <c r="B89" s="581">
        <f>'Sources and Uses Budget'!C90</f>
        <v>45000</v>
      </c>
      <c r="C89" s="582">
        <f t="shared" si="12"/>
        <v>45000</v>
      </c>
      <c r="D89" s="582"/>
      <c r="E89" s="581">
        <f>'Sources and Uses Budget'!S90</f>
        <v>45000</v>
      </c>
      <c r="F89" s="582">
        <f t="shared" si="14"/>
        <v>45000</v>
      </c>
      <c r="G89" s="582"/>
      <c r="H89" s="581">
        <f>'Sources and Uses Budget'!T90</f>
        <v>0</v>
      </c>
      <c r="I89" s="582"/>
      <c r="J89" s="582"/>
      <c r="K89" s="576"/>
    </row>
    <row r="90" spans="1:11" s="251" customFormat="1">
      <c r="A90" s="237" t="s">
        <v>1732</v>
      </c>
      <c r="B90" s="581">
        <f>'Sources and Uses Budget'!C91</f>
        <v>7500</v>
      </c>
      <c r="C90" s="582">
        <f t="shared" si="12"/>
        <v>7500</v>
      </c>
      <c r="D90" s="582"/>
      <c r="E90" s="581">
        <f>'Sources and Uses Budget'!S91</f>
        <v>7500</v>
      </c>
      <c r="F90" s="582">
        <f t="shared" si="14"/>
        <v>7500</v>
      </c>
      <c r="G90" s="582"/>
      <c r="H90" s="581">
        <f>'Sources and Uses Budget'!T91</f>
        <v>0</v>
      </c>
      <c r="I90" s="582"/>
      <c r="J90" s="582"/>
      <c r="K90" s="576"/>
    </row>
    <row r="91" spans="1:11" s="251" customFormat="1">
      <c r="A91" s="237" t="str">
        <f>'Sources and Uses Budget'!$A92</f>
        <v>PG&amp;E Fees</v>
      </c>
      <c r="B91" s="581">
        <f>'Sources and Uses Budget'!C92</f>
        <v>125000</v>
      </c>
      <c r="C91" s="582">
        <f t="shared" si="12"/>
        <v>125000</v>
      </c>
      <c r="D91" s="582"/>
      <c r="E91" s="581">
        <f>'Sources and Uses Budget'!S92</f>
        <v>125000</v>
      </c>
      <c r="F91" s="582">
        <f t="shared" si="14"/>
        <v>125000</v>
      </c>
      <c r="G91" s="582"/>
      <c r="H91" s="581">
        <f>'Sources and Uses Budget'!T92</f>
        <v>0</v>
      </c>
      <c r="I91" s="582"/>
      <c r="J91" s="582"/>
      <c r="K91" s="576"/>
    </row>
    <row r="92" spans="1:11" s="251" customFormat="1">
      <c r="A92" s="237" t="str">
        <f>'Sources and Uses Budget'!$A93</f>
        <v>Sewer / Water / Expansion Fee</v>
      </c>
      <c r="B92" s="581">
        <f>'Sources and Uses Budget'!C93</f>
        <v>250000</v>
      </c>
      <c r="C92" s="582">
        <f t="shared" si="12"/>
        <v>250000</v>
      </c>
      <c r="D92" s="582"/>
      <c r="E92" s="581">
        <f>'Sources and Uses Budget'!S93</f>
        <v>250000</v>
      </c>
      <c r="F92" s="582">
        <f t="shared" si="14"/>
        <v>250000</v>
      </c>
      <c r="G92" s="582"/>
      <c r="H92" s="581">
        <f>'Sources and Uses Budget'!T93</f>
        <v>0</v>
      </c>
      <c r="I92" s="582"/>
      <c r="J92" s="582"/>
      <c r="K92" s="576"/>
    </row>
    <row r="93" spans="1:11" s="251" customFormat="1">
      <c r="A93" s="237" t="str">
        <f>'Sources and Uses Budget'!$A94</f>
        <v>Other: (Specify)</v>
      </c>
      <c r="B93" s="581">
        <f>'Sources and Uses Budget'!C94</f>
        <v>0</v>
      </c>
      <c r="C93" s="582">
        <f t="shared" si="12"/>
        <v>0</v>
      </c>
      <c r="D93" s="582"/>
      <c r="E93" s="581">
        <f>'Sources and Uses Budget'!S94</f>
        <v>0</v>
      </c>
      <c r="F93" s="582">
        <f t="shared" si="14"/>
        <v>0</v>
      </c>
      <c r="G93" s="582"/>
      <c r="H93" s="581">
        <f>'Sources and Uses Budget'!T94</f>
        <v>0</v>
      </c>
      <c r="I93" s="582"/>
      <c r="J93" s="582"/>
      <c r="K93" s="576"/>
    </row>
    <row r="94" spans="1:11" s="251" customFormat="1">
      <c r="A94" s="241" t="s">
        <v>523</v>
      </c>
      <c r="B94" s="581">
        <f>'Sources and Uses Budget'!C95</f>
        <v>3144746</v>
      </c>
      <c r="C94" s="581">
        <f>SUM(C81:C93)</f>
        <v>3144746</v>
      </c>
      <c r="D94" s="581">
        <f>SUM(D81:D93)</f>
        <v>0</v>
      </c>
      <c r="E94" s="581">
        <f>'Sources and Uses Budget'!S95</f>
        <v>2845412</v>
      </c>
      <c r="F94" s="584">
        <f>SUM(F82:F85,F87:F93)</f>
        <v>2845412</v>
      </c>
      <c r="G94" s="584">
        <f>SUM(G82:G85,G87:G93)</f>
        <v>0</v>
      </c>
      <c r="H94" s="581">
        <f>'Sources and Uses Budget'!T95</f>
        <v>0</v>
      </c>
      <c r="I94" s="581">
        <f>SUM(I82:I85,I87:I93)</f>
        <v>0</v>
      </c>
      <c r="J94" s="581">
        <f>SUM(J82:J85,J87:J93)</f>
        <v>0</v>
      </c>
      <c r="K94" s="576"/>
    </row>
    <row r="95" spans="1:11" s="251" customFormat="1">
      <c r="A95" s="241" t="s">
        <v>1355</v>
      </c>
      <c r="B95" s="581">
        <f>'Sources and Uses Budget'!C96</f>
        <v>26175770</v>
      </c>
      <c r="C95" s="581">
        <f>SUM(C61+C68+C75+C79+C94)</f>
        <v>26175770</v>
      </c>
      <c r="D95" s="581">
        <f>SUM(D61+D68+D75+D79+D94)</f>
        <v>0</v>
      </c>
      <c r="E95" s="581">
        <f>'Sources and Uses Budget'!S96</f>
        <v>20511129</v>
      </c>
      <c r="F95" s="584">
        <f>SUM(+F61+F68+F79+F94)</f>
        <v>20511129</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1840000</v>
      </c>
      <c r="C97" s="582">
        <f>+B97</f>
        <v>1840000</v>
      </c>
      <c r="D97" s="582"/>
      <c r="E97" s="581">
        <f>'Sources and Uses Budget'!S98</f>
        <v>1840000</v>
      </c>
      <c r="F97" s="582">
        <f>+E97</f>
        <v>1840000</v>
      </c>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1840000</v>
      </c>
      <c r="C102" s="581">
        <f>SUM(C97:C101)</f>
        <v>1840000</v>
      </c>
      <c r="D102" s="581">
        <f>SUM(D97:D101)</f>
        <v>0</v>
      </c>
      <c r="E102" s="581">
        <f>'Sources and Uses Budget'!S103</f>
        <v>1840000</v>
      </c>
      <c r="F102" s="584">
        <f>SUM(F97:F101)</f>
        <v>1840000</v>
      </c>
      <c r="G102" s="584">
        <f>SUM(G97:G101)</f>
        <v>0</v>
      </c>
      <c r="H102" s="581">
        <f>'Sources and Uses Budget'!T103</f>
        <v>0</v>
      </c>
      <c r="I102" s="584">
        <f>SUM(I97:I101)</f>
        <v>0</v>
      </c>
      <c r="J102" s="584">
        <f>SUM(J97:J101)</f>
        <v>0</v>
      </c>
      <c r="K102" s="576"/>
    </row>
    <row r="103" spans="1:11" s="251" customFormat="1">
      <c r="A103" s="241" t="s">
        <v>1356</v>
      </c>
      <c r="B103" s="581">
        <f>'Sources and Uses Budget'!C104</f>
        <v>28015770</v>
      </c>
      <c r="C103" s="584">
        <f>SUM(C95+C102)</f>
        <v>28015770</v>
      </c>
      <c r="D103" s="584">
        <f>SUM(D95+D102)</f>
        <v>0</v>
      </c>
      <c r="E103" s="581">
        <f>'Sources and Uses Budget'!S104</f>
        <v>22351129</v>
      </c>
      <c r="F103" s="584">
        <f>F95+F102</f>
        <v>22351129</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22351129</v>
      </c>
      <c r="F105" s="584">
        <f>F103+F104</f>
        <v>22351129</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65" workbookViewId="0">
      <selection activeCell="AG15" sqref="AG1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50" t="s">
        <v>846</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row>
    <row r="2" spans="1:43" s="5" customFormat="1" ht="12.75" customHeight="1" thickBot="1">
      <c r="A2" s="1651"/>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19" t="s">
        <v>364</v>
      </c>
      <c r="AF4" s="1719"/>
      <c r="AG4" s="1719"/>
      <c r="AH4" s="1719"/>
      <c r="AI4" s="1719"/>
      <c r="AJ4" s="1719"/>
      <c r="AK4" s="1719"/>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08" t="s">
        <v>854</v>
      </c>
      <c r="AG6" s="1708"/>
      <c r="AH6" s="1708"/>
      <c r="AI6" s="1708"/>
      <c r="AJ6" s="1708"/>
      <c r="AK6" s="1708"/>
      <c r="AL6" s="170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39" t="s">
        <v>2348</v>
      </c>
      <c r="C8" s="1739"/>
      <c r="D8" s="1739"/>
      <c r="E8" s="1739"/>
      <c r="F8" s="1739"/>
      <c r="G8" s="1739"/>
      <c r="H8" s="1739"/>
      <c r="I8" s="1739"/>
      <c r="J8" s="1739"/>
      <c r="K8" s="1739"/>
      <c r="L8" s="1739"/>
      <c r="M8" s="1739"/>
      <c r="N8" s="1739"/>
      <c r="O8" s="1739"/>
      <c r="P8" s="1739"/>
      <c r="Q8" s="1739"/>
      <c r="R8" s="1739"/>
      <c r="S8" s="1739"/>
      <c r="T8" s="1739"/>
      <c r="U8" s="1739"/>
      <c r="V8" s="1739"/>
      <c r="W8" s="1739"/>
      <c r="X8" s="1739"/>
      <c r="Y8" s="1739"/>
      <c r="Z8" s="1739"/>
      <c r="AA8" s="1739"/>
      <c r="AB8" s="1739"/>
      <c r="AC8" s="173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39" t="s">
        <v>1243</v>
      </c>
      <c r="C11" s="1739"/>
      <c r="D11" s="1739"/>
      <c r="E11" s="1739"/>
      <c r="F11" s="1739"/>
      <c r="G11" s="1739"/>
      <c r="H11" s="1739"/>
      <c r="I11" s="1739"/>
      <c r="J11" s="1739"/>
      <c r="K11" s="1739"/>
      <c r="L11" s="1739"/>
      <c r="M11" s="1739"/>
      <c r="N11" s="1739"/>
      <c r="O11" s="1739"/>
      <c r="P11" s="1739"/>
      <c r="Q11" s="1739"/>
      <c r="R11" s="1739"/>
      <c r="S11" s="1739"/>
      <c r="T11" s="1739"/>
      <c r="U11" s="1739"/>
      <c r="V11" s="1739"/>
      <c r="W11" s="1739"/>
      <c r="X11" s="1739"/>
      <c r="Y11" s="1739"/>
      <c r="Z11" s="1739"/>
      <c r="AA11" s="1739"/>
      <c r="AB11" s="1739"/>
      <c r="AC11" s="1739"/>
      <c r="AD11" s="1739"/>
      <c r="AE11" s="1739"/>
      <c r="AF11" s="1739"/>
      <c r="AG11" s="1739"/>
      <c r="AH11" s="1739"/>
      <c r="AI11" s="1739"/>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45" t="s">
        <v>108</v>
      </c>
      <c r="AC13" s="184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39" t="s">
        <v>1119</v>
      </c>
      <c r="C16" s="1739"/>
      <c r="D16" s="1739"/>
      <c r="E16" s="1739"/>
      <c r="F16" s="1739"/>
      <c r="G16" s="1739"/>
      <c r="H16" s="1739"/>
      <c r="I16" s="1739"/>
      <c r="J16" s="1739"/>
      <c r="K16" s="1739"/>
      <c r="L16" s="1739"/>
      <c r="M16" s="1739"/>
      <c r="N16" s="1739"/>
      <c r="O16" s="1739"/>
      <c r="P16" s="1739"/>
      <c r="Q16" s="1739"/>
      <c r="R16" s="1739"/>
      <c r="S16" s="1739"/>
      <c r="T16" s="1739"/>
      <c r="U16" s="1739"/>
      <c r="V16" s="1739"/>
      <c r="W16" s="1739"/>
      <c r="X16" s="1739"/>
      <c r="Y16" s="1739"/>
      <c r="Z16" s="1739"/>
      <c r="AA16" s="1739"/>
      <c r="AB16" s="1739"/>
      <c r="AC16" s="1739"/>
      <c r="AD16" s="1739"/>
      <c r="AE16" s="1739"/>
      <c r="AF16" s="1739"/>
      <c r="AG16" s="1739"/>
      <c r="AH16" s="1739"/>
      <c r="AI16" s="1739"/>
      <c r="AJ16" s="1739"/>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22" t="s">
        <v>2192</v>
      </c>
      <c r="C20" s="1722"/>
      <c r="D20" s="1722"/>
      <c r="E20" s="1722"/>
      <c r="F20" s="1722"/>
      <c r="G20" s="1722"/>
      <c r="H20" s="1722"/>
      <c r="I20" s="1722"/>
      <c r="J20" s="1722"/>
      <c r="K20" s="1722"/>
      <c r="L20" s="1722"/>
      <c r="M20" s="1722"/>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c r="AL20" s="101"/>
      <c r="AM20" s="27"/>
      <c r="AN20" s="667"/>
    </row>
    <row r="21" spans="1:42" s="5" customFormat="1" ht="12.75" customHeight="1">
      <c r="A21" s="27"/>
      <c r="B21" s="1722"/>
      <c r="C21" s="1722"/>
      <c r="D21" s="1722"/>
      <c r="E21" s="1722"/>
      <c r="F21" s="1722"/>
      <c r="G21" s="1722"/>
      <c r="H21" s="1722"/>
      <c r="I21" s="1722"/>
      <c r="J21" s="1722"/>
      <c r="K21" s="1722"/>
      <c r="L21" s="1722"/>
      <c r="M21" s="1722"/>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c r="AL21" s="101"/>
      <c r="AM21" s="27"/>
      <c r="AN21" s="667"/>
      <c r="AP21" s="338"/>
    </row>
    <row r="22" spans="1:42" s="5" customFormat="1" ht="12.75" customHeight="1">
      <c r="A22" s="27"/>
      <c r="B22" s="1722"/>
      <c r="C22" s="1722"/>
      <c r="D22" s="1722"/>
      <c r="E22" s="1722"/>
      <c r="F22" s="1722"/>
      <c r="G22" s="1722"/>
      <c r="H22" s="1722"/>
      <c r="I22" s="1722"/>
      <c r="J22" s="1722"/>
      <c r="K22" s="1722"/>
      <c r="L22" s="1722"/>
      <c r="M22" s="1722"/>
      <c r="N22" s="1722"/>
      <c r="O22" s="1722"/>
      <c r="P22" s="1722"/>
      <c r="Q22" s="1722"/>
      <c r="R22" s="1722"/>
      <c r="S22" s="1722"/>
      <c r="T22" s="1722"/>
      <c r="U22" s="1722"/>
      <c r="V22" s="1722"/>
      <c r="W22" s="1722"/>
      <c r="X22" s="1722"/>
      <c r="Y22" s="1722"/>
      <c r="Z22" s="1722"/>
      <c r="AA22" s="1722"/>
      <c r="AB22" s="1722"/>
      <c r="AC22" s="1722"/>
      <c r="AD22" s="1722"/>
      <c r="AE22" s="1722"/>
      <c r="AF22" s="1722"/>
      <c r="AG22" s="1722"/>
      <c r="AH22" s="1722"/>
      <c r="AI22" s="1722"/>
      <c r="AJ22" s="1722"/>
      <c r="AK22" s="1722"/>
      <c r="AL22" s="101"/>
      <c r="AM22" s="27"/>
      <c r="AN22" s="667"/>
    </row>
    <row r="23" spans="1:42" s="4" customFormat="1" ht="12.75" customHeight="1">
      <c r="A23" s="27"/>
      <c r="B23" s="1722"/>
      <c r="C23" s="1722"/>
      <c r="D23" s="1722"/>
      <c r="E23" s="1722"/>
      <c r="F23" s="1722"/>
      <c r="G23" s="1722"/>
      <c r="H23" s="1722"/>
      <c r="I23" s="1722"/>
      <c r="J23" s="1722"/>
      <c r="K23" s="1722"/>
      <c r="L23" s="1722"/>
      <c r="M23" s="1722"/>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c r="AL23" s="101"/>
      <c r="AM23" s="27"/>
      <c r="AN23" s="279"/>
    </row>
    <row r="24" spans="1:42" s="4" customFormat="1" ht="12.75" customHeight="1">
      <c r="A24" s="27"/>
      <c r="B24" s="1722"/>
      <c r="C24" s="1722"/>
      <c r="D24" s="1722"/>
      <c r="E24" s="1722"/>
      <c r="F24" s="1722"/>
      <c r="G24" s="1722"/>
      <c r="H24" s="1722"/>
      <c r="I24" s="1722"/>
      <c r="J24" s="1722"/>
      <c r="K24" s="1722"/>
      <c r="L24" s="1722"/>
      <c r="M24" s="1722"/>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c r="AL24" s="101"/>
      <c r="AM24" s="27"/>
      <c r="AN24" s="669"/>
      <c r="AO24" s="91"/>
    </row>
    <row r="25" spans="1:42" s="4" customFormat="1" ht="12.75" customHeight="1">
      <c r="A25" s="27"/>
      <c r="B25" s="1722"/>
      <c r="C25" s="1722"/>
      <c r="D25" s="1722"/>
      <c r="E25" s="1722"/>
      <c r="F25" s="1722"/>
      <c r="G25" s="1722"/>
      <c r="H25" s="1722"/>
      <c r="I25" s="1722"/>
      <c r="J25" s="1722"/>
      <c r="K25" s="1722"/>
      <c r="L25" s="1722"/>
      <c r="M25" s="1722"/>
      <c r="N25" s="1722"/>
      <c r="O25" s="1722"/>
      <c r="P25" s="1722"/>
      <c r="Q25" s="1722"/>
      <c r="R25" s="1722"/>
      <c r="S25" s="1722"/>
      <c r="T25" s="1722"/>
      <c r="U25" s="1722"/>
      <c r="V25" s="1722"/>
      <c r="W25" s="1722"/>
      <c r="X25" s="1722"/>
      <c r="Y25" s="1722"/>
      <c r="Z25" s="1722"/>
      <c r="AA25" s="1722"/>
      <c r="AB25" s="1722"/>
      <c r="AC25" s="1722"/>
      <c r="AD25" s="1722"/>
      <c r="AE25" s="1722"/>
      <c r="AF25" s="1722"/>
      <c r="AG25" s="1722"/>
      <c r="AH25" s="1722"/>
      <c r="AI25" s="1722"/>
      <c r="AJ25" s="1722"/>
      <c r="AK25" s="1722"/>
      <c r="AL25" s="101"/>
      <c r="AM25" s="27"/>
      <c r="AN25" s="669"/>
    </row>
    <row r="26" spans="1:42" s="4" customFormat="1" ht="12.75" customHeight="1">
      <c r="A26" s="27"/>
      <c r="B26" s="1722"/>
      <c r="C26" s="1722"/>
      <c r="D26" s="1722"/>
      <c r="E26" s="1722"/>
      <c r="F26" s="1722"/>
      <c r="G26" s="1722"/>
      <c r="H26" s="1722"/>
      <c r="I26" s="1722"/>
      <c r="J26" s="1722"/>
      <c r="K26" s="1722"/>
      <c r="L26" s="1722"/>
      <c r="M26" s="1722"/>
      <c r="N26" s="1722"/>
      <c r="O26" s="1722"/>
      <c r="P26" s="1722"/>
      <c r="Q26" s="1722"/>
      <c r="R26" s="1722"/>
      <c r="S26" s="1722"/>
      <c r="T26" s="1722"/>
      <c r="U26" s="1722"/>
      <c r="V26" s="1722"/>
      <c r="W26" s="1722"/>
      <c r="X26" s="1722"/>
      <c r="Y26" s="1722"/>
      <c r="Z26" s="1722"/>
      <c r="AA26" s="1722"/>
      <c r="AB26" s="1722"/>
      <c r="AC26" s="1722"/>
      <c r="AD26" s="1722"/>
      <c r="AE26" s="1722"/>
      <c r="AF26" s="1722"/>
      <c r="AG26" s="1722"/>
      <c r="AH26" s="1722"/>
      <c r="AI26" s="1722"/>
      <c r="AJ26" s="1722"/>
      <c r="AK26" s="1722"/>
      <c r="AL26" s="101"/>
      <c r="AM26" s="27"/>
      <c r="AN26" s="279"/>
    </row>
    <row r="27" spans="1:42" s="4" customFormat="1" ht="12.75" customHeight="1">
      <c r="A27" s="27"/>
      <c r="B27" s="1722"/>
      <c r="C27" s="1722"/>
      <c r="D27" s="1722"/>
      <c r="E27" s="1722"/>
      <c r="F27" s="1722"/>
      <c r="G27" s="1722"/>
      <c r="H27" s="1722"/>
      <c r="I27" s="1722"/>
      <c r="J27" s="1722"/>
      <c r="K27" s="1722"/>
      <c r="L27" s="1722"/>
      <c r="M27" s="1722"/>
      <c r="N27" s="1722"/>
      <c r="O27" s="1722"/>
      <c r="P27" s="1722"/>
      <c r="Q27" s="1722"/>
      <c r="R27" s="1722"/>
      <c r="S27" s="1722"/>
      <c r="T27" s="1722"/>
      <c r="U27" s="1722"/>
      <c r="V27" s="1722"/>
      <c r="W27" s="1722"/>
      <c r="X27" s="1722"/>
      <c r="Y27" s="1722"/>
      <c r="Z27" s="1722"/>
      <c r="AA27" s="1722"/>
      <c r="AB27" s="1722"/>
      <c r="AC27" s="1722"/>
      <c r="AD27" s="1722"/>
      <c r="AE27" s="1722"/>
      <c r="AF27" s="1722"/>
      <c r="AG27" s="1722"/>
      <c r="AH27" s="1722"/>
      <c r="AI27" s="1722"/>
      <c r="AJ27" s="1722"/>
      <c r="AK27" s="1722"/>
      <c r="AL27" s="101"/>
      <c r="AM27" s="27"/>
      <c r="AN27" s="611"/>
    </row>
    <row r="28" spans="1:42" s="4" customFormat="1" ht="12.75" customHeight="1">
      <c r="A28" s="27"/>
      <c r="B28" s="1722"/>
      <c r="C28" s="1722"/>
      <c r="D28" s="1722"/>
      <c r="E28" s="1722"/>
      <c r="F28" s="1722"/>
      <c r="G28" s="1722"/>
      <c r="H28" s="1722"/>
      <c r="I28" s="1722"/>
      <c r="J28" s="1722"/>
      <c r="K28" s="1722"/>
      <c r="L28" s="1722"/>
      <c r="M28" s="1722"/>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c r="AL28" s="101"/>
      <c r="AM28" s="27"/>
      <c r="AN28" s="611"/>
    </row>
    <row r="29" spans="1:42" s="4" customFormat="1" ht="31.7" customHeight="1">
      <c r="A29" s="27"/>
      <c r="B29" s="1722"/>
      <c r="C29" s="1722"/>
      <c r="D29" s="1722"/>
      <c r="E29" s="1722"/>
      <c r="F29" s="1722"/>
      <c r="G29" s="1722"/>
      <c r="H29" s="1722"/>
      <c r="I29" s="1722"/>
      <c r="J29" s="1722"/>
      <c r="K29" s="1722"/>
      <c r="L29" s="1722"/>
      <c r="M29" s="1722"/>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c r="AL29" s="101"/>
      <c r="AM29" s="27"/>
      <c r="AN29" s="611"/>
    </row>
    <row r="30" spans="1:42" s="4" customFormat="1" ht="12.75" customHeight="1">
      <c r="A30" s="5"/>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7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61</v>
      </c>
      <c r="AG33" s="1708"/>
      <c r="AH33" s="1708"/>
      <c r="AI33" s="1708"/>
      <c r="AJ33" s="1708"/>
      <c r="AK33" s="1708"/>
      <c r="AL33" s="170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50" t="str">
        <f>Application!AA329</f>
        <v>Danco Property Management</v>
      </c>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39" t="s">
        <v>1247</v>
      </c>
      <c r="C38" s="1739"/>
      <c r="D38" s="1739"/>
      <c r="E38" s="1739"/>
      <c r="F38" s="1739"/>
      <c r="G38" s="1739"/>
      <c r="H38" s="1739"/>
      <c r="I38" s="1739"/>
      <c r="J38" s="1739"/>
      <c r="K38" s="1739"/>
      <c r="L38" s="1739"/>
      <c r="M38" s="1739"/>
      <c r="N38" s="1739"/>
      <c r="O38" s="1739"/>
      <c r="P38" s="1739"/>
      <c r="Q38" s="1739"/>
      <c r="R38" s="1739"/>
      <c r="S38" s="1739"/>
      <c r="T38" s="1739"/>
      <c r="U38" s="1739"/>
      <c r="V38" s="1739"/>
      <c r="W38" s="1739"/>
      <c r="X38" s="1739"/>
      <c r="Y38" s="1739"/>
      <c r="Z38" s="1739"/>
      <c r="AA38" s="1739"/>
      <c r="AB38" s="1739"/>
      <c r="AC38" s="1739"/>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39" t="s">
        <v>108</v>
      </c>
      <c r="AA40" s="1739"/>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39" t="s">
        <v>1119</v>
      </c>
      <c r="C43" s="1739"/>
      <c r="D43" s="1739"/>
      <c r="E43" s="1739"/>
      <c r="F43" s="1739"/>
      <c r="G43" s="1739"/>
      <c r="H43" s="1739"/>
      <c r="I43" s="1739"/>
      <c r="J43" s="1739"/>
      <c r="K43" s="1739"/>
      <c r="L43" s="1739"/>
      <c r="M43" s="1739"/>
      <c r="N43" s="1739"/>
      <c r="O43" s="1739"/>
      <c r="P43" s="1739"/>
      <c r="Q43" s="1739"/>
      <c r="R43" s="1739"/>
      <c r="S43" s="1739"/>
      <c r="T43" s="1739"/>
      <c r="U43" s="1739"/>
      <c r="V43" s="1739"/>
      <c r="W43" s="1739"/>
      <c r="X43" s="1739"/>
      <c r="Y43" s="1739"/>
      <c r="Z43" s="1739"/>
      <c r="AA43" s="1739"/>
      <c r="AB43" s="1739"/>
      <c r="AC43" s="1739"/>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4"/>
      <c r="AL47" s="317"/>
      <c r="AM47" s="90"/>
      <c r="AN47" s="279"/>
    </row>
    <row r="48" spans="1:42" s="4" customFormat="1" ht="12.75" customHeight="1">
      <c r="A48" s="5"/>
      <c r="B48" s="42"/>
      <c r="R48" s="5"/>
      <c r="S48" s="42"/>
      <c r="AN48" s="279"/>
    </row>
    <row r="49" spans="1:46" s="4" customFormat="1" ht="12.75" customHeight="1">
      <c r="B49" s="1722" t="s">
        <v>1468</v>
      </c>
      <c r="C49" s="1722"/>
      <c r="D49" s="1722"/>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2"/>
      <c r="AA49" s="1722"/>
      <c r="AB49" s="1722"/>
      <c r="AC49" s="1722"/>
      <c r="AD49" s="1722"/>
      <c r="AE49" s="1722"/>
      <c r="AF49" s="1722"/>
      <c r="AG49" s="1722"/>
      <c r="AH49" s="1722"/>
      <c r="AI49" s="1722"/>
      <c r="AJ49" s="1722"/>
      <c r="AK49" s="1722"/>
      <c r="AL49" s="101"/>
      <c r="AM49" s="27"/>
      <c r="AN49" s="279"/>
    </row>
    <row r="50" spans="1:46" s="4" customFormat="1" ht="12.75" customHeight="1">
      <c r="A50" s="26"/>
      <c r="B50" s="1722"/>
      <c r="C50" s="1722"/>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2"/>
      <c r="Z50" s="1722"/>
      <c r="AA50" s="1722"/>
      <c r="AB50" s="1722"/>
      <c r="AC50" s="1722"/>
      <c r="AD50" s="1722"/>
      <c r="AE50" s="1722"/>
      <c r="AF50" s="1722"/>
      <c r="AG50" s="1722"/>
      <c r="AH50" s="1722"/>
      <c r="AI50" s="1722"/>
      <c r="AJ50" s="1722"/>
      <c r="AK50" s="1722"/>
      <c r="AL50" s="101"/>
      <c r="AM50" s="27"/>
      <c r="AN50" s="279"/>
    </row>
    <row r="51" spans="1:46" s="4" customFormat="1" ht="12.75" customHeight="1">
      <c r="A51" s="26"/>
      <c r="B51" s="1722"/>
      <c r="C51" s="1722"/>
      <c r="D51" s="1722"/>
      <c r="E51" s="1722"/>
      <c r="F51" s="1722"/>
      <c r="G51" s="1722"/>
      <c r="H51" s="1722"/>
      <c r="I51" s="1722"/>
      <c r="J51" s="1722"/>
      <c r="K51" s="1722"/>
      <c r="L51" s="1722"/>
      <c r="M51" s="1722"/>
      <c r="N51" s="1722"/>
      <c r="O51" s="1722"/>
      <c r="P51" s="1722"/>
      <c r="Q51" s="1722"/>
      <c r="R51" s="1722"/>
      <c r="S51" s="1722"/>
      <c r="T51" s="1722"/>
      <c r="U51" s="1722"/>
      <c r="V51" s="1722"/>
      <c r="W51" s="1722"/>
      <c r="X51" s="1722"/>
      <c r="Y51" s="1722"/>
      <c r="Z51" s="1722"/>
      <c r="AA51" s="1722"/>
      <c r="AB51" s="1722"/>
      <c r="AC51" s="1722"/>
      <c r="AD51" s="1722"/>
      <c r="AE51" s="1722"/>
      <c r="AF51" s="1722"/>
      <c r="AG51" s="1722"/>
      <c r="AH51" s="1722"/>
      <c r="AI51" s="1722"/>
      <c r="AJ51" s="1722"/>
      <c r="AK51" s="1722"/>
      <c r="AL51" s="101"/>
      <c r="AM51" s="27"/>
      <c r="AN51" s="279"/>
    </row>
    <row r="52" spans="1:46" s="4" customFormat="1" ht="12.75" customHeight="1">
      <c r="A52" s="26"/>
      <c r="B52" s="1722"/>
      <c r="C52" s="1722"/>
      <c r="D52" s="1722"/>
      <c r="E52" s="1722"/>
      <c r="F52" s="1722"/>
      <c r="G52" s="1722"/>
      <c r="H52" s="1722"/>
      <c r="I52" s="1722"/>
      <c r="J52" s="1722"/>
      <c r="K52" s="1722"/>
      <c r="L52" s="1722"/>
      <c r="M52" s="1722"/>
      <c r="N52" s="1722"/>
      <c r="O52" s="1722"/>
      <c r="P52" s="1722"/>
      <c r="Q52" s="1722"/>
      <c r="R52" s="1722"/>
      <c r="S52" s="1722"/>
      <c r="T52" s="1722"/>
      <c r="U52" s="1722"/>
      <c r="V52" s="1722"/>
      <c r="W52" s="1722"/>
      <c r="X52" s="1722"/>
      <c r="Y52" s="1722"/>
      <c r="Z52" s="1722"/>
      <c r="AA52" s="1722"/>
      <c r="AB52" s="1722"/>
      <c r="AC52" s="1722"/>
      <c r="AD52" s="1722"/>
      <c r="AE52" s="1722"/>
      <c r="AF52" s="1722"/>
      <c r="AG52" s="1722"/>
      <c r="AH52" s="1722"/>
      <c r="AI52" s="1722"/>
      <c r="AJ52" s="1722"/>
      <c r="AK52" s="1722"/>
      <c r="AL52" s="101"/>
      <c r="AM52" s="27"/>
      <c r="AN52" s="279"/>
    </row>
    <row r="53" spans="1:46" s="4" customFormat="1" ht="12.75" customHeight="1">
      <c r="A53" s="26"/>
      <c r="B53" s="1722"/>
      <c r="C53" s="1722"/>
      <c r="D53" s="1722"/>
      <c r="E53" s="1722"/>
      <c r="F53" s="1722"/>
      <c r="G53" s="1722"/>
      <c r="H53" s="1722"/>
      <c r="I53" s="1722"/>
      <c r="J53" s="1722"/>
      <c r="K53" s="1722"/>
      <c r="L53" s="1722"/>
      <c r="M53" s="1722"/>
      <c r="N53" s="1722"/>
      <c r="O53" s="1722"/>
      <c r="P53" s="1722"/>
      <c r="Q53" s="1722"/>
      <c r="R53" s="1722"/>
      <c r="S53" s="1722"/>
      <c r="T53" s="1722"/>
      <c r="U53" s="1722"/>
      <c r="V53" s="1722"/>
      <c r="W53" s="1722"/>
      <c r="X53" s="1722"/>
      <c r="Y53" s="1722"/>
      <c r="Z53" s="1722"/>
      <c r="AA53" s="1722"/>
      <c r="AB53" s="1722"/>
      <c r="AC53" s="1722"/>
      <c r="AD53" s="1722"/>
      <c r="AE53" s="1722"/>
      <c r="AF53" s="1722"/>
      <c r="AG53" s="1722"/>
      <c r="AH53" s="1722"/>
      <c r="AI53" s="1722"/>
      <c r="AJ53" s="1722"/>
      <c r="AK53" s="1722"/>
      <c r="AL53" s="101"/>
      <c r="AM53" s="27"/>
      <c r="AN53" s="279"/>
    </row>
    <row r="54" spans="1:46" s="4" customFormat="1" ht="12.75" customHeight="1">
      <c r="A54" s="26"/>
      <c r="B54" s="1722"/>
      <c r="C54" s="1722"/>
      <c r="D54" s="1722"/>
      <c r="E54" s="1722"/>
      <c r="F54" s="1722"/>
      <c r="G54" s="1722"/>
      <c r="H54" s="1722"/>
      <c r="I54" s="1722"/>
      <c r="J54" s="1722"/>
      <c r="K54" s="1722"/>
      <c r="L54" s="1722"/>
      <c r="M54" s="1722"/>
      <c r="N54" s="1722"/>
      <c r="O54" s="1722"/>
      <c r="P54" s="1722"/>
      <c r="Q54" s="1722"/>
      <c r="R54" s="1722"/>
      <c r="S54" s="1722"/>
      <c r="T54" s="1722"/>
      <c r="U54" s="1722"/>
      <c r="V54" s="1722"/>
      <c r="W54" s="1722"/>
      <c r="X54" s="1722"/>
      <c r="Y54" s="1722"/>
      <c r="Z54" s="1722"/>
      <c r="AA54" s="1722"/>
      <c r="AB54" s="1722"/>
      <c r="AC54" s="1722"/>
      <c r="AD54" s="1722"/>
      <c r="AE54" s="1722"/>
      <c r="AF54" s="1722"/>
      <c r="AG54" s="1722"/>
      <c r="AH54" s="1722"/>
      <c r="AI54" s="1722"/>
      <c r="AJ54" s="1722"/>
      <c r="AK54" s="1722"/>
      <c r="AL54" s="101"/>
      <c r="AM54" s="27"/>
      <c r="AN54" s="279"/>
    </row>
    <row r="55" spans="1:46" s="4" customFormat="1" ht="33.4" customHeight="1">
      <c r="A55" s="26"/>
      <c r="B55" s="1722"/>
      <c r="C55" s="1722"/>
      <c r="D55" s="1722"/>
      <c r="E55" s="1722"/>
      <c r="F55" s="1722"/>
      <c r="G55" s="1722"/>
      <c r="H55" s="1722"/>
      <c r="I55" s="1722"/>
      <c r="J55" s="1722"/>
      <c r="K55" s="1722"/>
      <c r="L55" s="1722"/>
      <c r="M55" s="1722"/>
      <c r="N55" s="1722"/>
      <c r="O55" s="1722"/>
      <c r="P55" s="1722"/>
      <c r="Q55" s="1722"/>
      <c r="R55" s="1722"/>
      <c r="S55" s="1722"/>
      <c r="T55" s="1722"/>
      <c r="U55" s="1722"/>
      <c r="V55" s="1722"/>
      <c r="W55" s="1722"/>
      <c r="X55" s="1722"/>
      <c r="Y55" s="1722"/>
      <c r="Z55" s="1722"/>
      <c r="AA55" s="1722"/>
      <c r="AB55" s="1722"/>
      <c r="AC55" s="1722"/>
      <c r="AD55" s="1722"/>
      <c r="AE55" s="1722"/>
      <c r="AF55" s="1722"/>
      <c r="AG55" s="1722"/>
      <c r="AH55" s="1722"/>
      <c r="AI55" s="1722"/>
      <c r="AJ55" s="1722"/>
      <c r="AK55" s="172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22" t="s">
        <v>2185</v>
      </c>
      <c r="C57" s="1722"/>
      <c r="D57" s="1722"/>
      <c r="E57" s="1722"/>
      <c r="F57" s="1722"/>
      <c r="G57" s="1722"/>
      <c r="H57" s="1722"/>
      <c r="I57" s="1722"/>
      <c r="J57" s="1722"/>
      <c r="K57" s="1722"/>
      <c r="L57" s="1722"/>
      <c r="M57" s="1722"/>
      <c r="N57" s="1722"/>
      <c r="O57" s="1722"/>
      <c r="P57" s="1722"/>
      <c r="Q57" s="1722"/>
      <c r="R57" s="1722"/>
      <c r="S57" s="1722"/>
      <c r="T57" s="1722"/>
      <c r="U57" s="1722"/>
      <c r="V57" s="1722"/>
      <c r="W57" s="1722"/>
      <c r="X57" s="1722"/>
      <c r="Y57" s="1722"/>
      <c r="Z57" s="1722"/>
      <c r="AA57" s="1722"/>
      <c r="AB57" s="1722"/>
      <c r="AC57" s="1722"/>
      <c r="AD57" s="1722"/>
      <c r="AE57" s="1722"/>
      <c r="AF57" s="1722"/>
      <c r="AG57" s="1722"/>
      <c r="AH57" s="1722"/>
      <c r="AI57" s="1722"/>
      <c r="AJ57" s="1722"/>
      <c r="AK57" s="1722"/>
      <c r="AL57" s="101"/>
      <c r="AM57" s="27"/>
      <c r="AN57" s="279"/>
    </row>
    <row r="58" spans="1:46" s="4" customFormat="1" ht="12.75" customHeight="1">
      <c r="B58" s="1722"/>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c r="Z58" s="1722"/>
      <c r="AA58" s="1722"/>
      <c r="AB58" s="1722"/>
      <c r="AC58" s="1722"/>
      <c r="AD58" s="1722"/>
      <c r="AE58" s="1722"/>
      <c r="AF58" s="1722"/>
      <c r="AG58" s="1722"/>
      <c r="AH58" s="1722"/>
      <c r="AI58" s="1722"/>
      <c r="AJ58" s="1722"/>
      <c r="AK58" s="1722"/>
      <c r="AL58" s="101"/>
      <c r="AM58" s="27"/>
      <c r="AN58" s="279"/>
    </row>
    <row r="59" spans="1:46" s="4" customFormat="1" ht="22.9" customHeight="1">
      <c r="A59" s="423"/>
      <c r="B59" s="1722"/>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c r="Z59" s="1722"/>
      <c r="AA59" s="1722"/>
      <c r="AB59" s="1722"/>
      <c r="AC59" s="1722"/>
      <c r="AD59" s="1722"/>
      <c r="AE59" s="1722"/>
      <c r="AF59" s="1722"/>
      <c r="AG59" s="1722"/>
      <c r="AH59" s="1722"/>
      <c r="AI59" s="1722"/>
      <c r="AJ59" s="1722"/>
      <c r="AK59" s="172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52">
        <f>$AJ$31+$AJ$47</f>
        <v>10</v>
      </c>
      <c r="AL61" s="1853"/>
      <c r="AM61" s="1854"/>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19" t="s">
        <v>364</v>
      </c>
      <c r="AF64" s="1719"/>
      <c r="AG64" s="1719"/>
      <c r="AH64" s="1719"/>
      <c r="AI64" s="1719"/>
      <c r="AJ64" s="1719"/>
      <c r="AK64" s="1719"/>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39" t="s">
        <v>664</v>
      </c>
      <c r="C66" s="1739"/>
      <c r="D66" s="1739"/>
      <c r="E66" s="1739"/>
      <c r="F66" s="1739"/>
      <c r="G66" s="1739"/>
      <c r="H66" s="1739"/>
      <c r="I66" s="1739"/>
      <c r="J66" s="1739"/>
      <c r="K66" s="1739"/>
      <c r="AF66" s="1708" t="s">
        <v>938</v>
      </c>
      <c r="AG66" s="1708"/>
      <c r="AH66" s="1708"/>
      <c r="AI66" s="1708"/>
      <c r="AJ66" s="1708"/>
      <c r="AK66" s="1708"/>
      <c r="AL66" s="1708"/>
      <c r="AN66" s="279"/>
      <c r="AP66" s="4" t="s">
        <v>124</v>
      </c>
      <c r="AS66" s="4" t="s">
        <v>665</v>
      </c>
      <c r="AT66" s="4">
        <v>10</v>
      </c>
    </row>
    <row r="67" spans="1:46" s="4" customFormat="1" ht="12.75" customHeight="1">
      <c r="B67" s="1849" t="s">
        <v>1319</v>
      </c>
      <c r="C67" s="1849"/>
      <c r="D67" s="1849"/>
      <c r="E67" s="1849"/>
      <c r="F67" s="1849"/>
      <c r="G67" s="1849"/>
      <c r="H67" s="1849"/>
      <c r="I67" s="1849"/>
      <c r="J67" s="1849"/>
      <c r="K67" s="1849"/>
      <c r="L67" s="1849"/>
      <c r="M67" s="1849"/>
      <c r="N67" s="1849"/>
      <c r="O67" s="1849"/>
      <c r="P67" s="1849"/>
      <c r="Q67" s="1849"/>
      <c r="R67" s="1849"/>
      <c r="S67" s="1849"/>
      <c r="T67" s="1739" t="s">
        <v>124</v>
      </c>
      <c r="U67" s="1739"/>
      <c r="V67" s="1739"/>
      <c r="W67" s="1739"/>
      <c r="X67" s="1739"/>
      <c r="Y67" s="1739"/>
      <c r="Z67" s="1739"/>
      <c r="AA67" s="1739"/>
      <c r="AB67" s="1739"/>
      <c r="AC67" s="1739"/>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85">
        <f>VLOOKUP($B$66,$AS$64:$AU$69,2,FALSE)</f>
        <v>10</v>
      </c>
      <c r="AL68" s="1286"/>
      <c r="AM68" s="1286"/>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9" t="s">
        <v>977</v>
      </c>
      <c r="AF73" s="1719"/>
      <c r="AG73" s="1719"/>
      <c r="AH73" s="1719"/>
      <c r="AI73" s="1719"/>
      <c r="AJ73" s="1719"/>
      <c r="AK73" s="171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22" t="s">
        <v>2101</v>
      </c>
      <c r="C75" s="1722"/>
      <c r="D75" s="1722"/>
      <c r="E75" s="1722"/>
      <c r="F75" s="1722"/>
      <c r="G75" s="1722"/>
      <c r="H75" s="1722"/>
      <c r="I75" s="1722"/>
      <c r="J75" s="1722"/>
      <c r="K75" s="1722"/>
      <c r="L75" s="1722"/>
      <c r="M75" s="1722"/>
      <c r="N75" s="1722"/>
      <c r="O75" s="1722"/>
      <c r="P75" s="1722"/>
      <c r="Q75" s="1722"/>
      <c r="R75" s="1722"/>
      <c r="S75" s="1722"/>
      <c r="T75" s="1722"/>
      <c r="U75" s="1722"/>
      <c r="V75" s="1722"/>
      <c r="W75" s="1722"/>
      <c r="X75" s="1722"/>
      <c r="Y75" s="1722"/>
      <c r="Z75" s="1722"/>
      <c r="AA75" s="1722"/>
      <c r="AB75" s="1722"/>
      <c r="AC75" s="1722"/>
      <c r="AD75" s="1722"/>
      <c r="AE75" s="1722"/>
      <c r="AF75" s="1722"/>
      <c r="AG75" s="1722"/>
      <c r="AH75" s="1722"/>
      <c r="AI75" s="1722"/>
      <c r="AJ75" s="1722"/>
      <c r="AK75" s="1722"/>
      <c r="AL75" s="101"/>
      <c r="AM75" s="27"/>
      <c r="AN75" s="279"/>
    </row>
    <row r="76" spans="1:46" s="4" customFormat="1" ht="12.75" customHeight="1">
      <c r="A76" s="27"/>
      <c r="B76" s="1722"/>
      <c r="C76" s="1722"/>
      <c r="D76" s="1722"/>
      <c r="E76" s="1722"/>
      <c r="F76" s="1722"/>
      <c r="G76" s="1722"/>
      <c r="H76" s="1722"/>
      <c r="I76" s="1722"/>
      <c r="J76" s="1722"/>
      <c r="K76" s="1722"/>
      <c r="L76" s="1722"/>
      <c r="M76" s="1722"/>
      <c r="N76" s="1722"/>
      <c r="O76" s="1722"/>
      <c r="P76" s="1722"/>
      <c r="Q76" s="1722"/>
      <c r="R76" s="1722"/>
      <c r="S76" s="1722"/>
      <c r="T76" s="1722"/>
      <c r="U76" s="1722"/>
      <c r="V76" s="1722"/>
      <c r="W76" s="1722"/>
      <c r="X76" s="1722"/>
      <c r="Y76" s="1722"/>
      <c r="Z76" s="1722"/>
      <c r="AA76" s="1722"/>
      <c r="AB76" s="1722"/>
      <c r="AC76" s="1722"/>
      <c r="AD76" s="1722"/>
      <c r="AE76" s="1722"/>
      <c r="AF76" s="1722"/>
      <c r="AG76" s="1722"/>
      <c r="AH76" s="1722"/>
      <c r="AI76" s="1722"/>
      <c r="AJ76" s="1722"/>
      <c r="AK76" s="1722"/>
      <c r="AL76" s="101"/>
      <c r="AM76" s="27"/>
      <c r="AN76" s="279"/>
    </row>
    <row r="77" spans="1:46" s="4" customFormat="1" ht="12.75" customHeight="1">
      <c r="A77" s="27"/>
      <c r="B77" s="1722"/>
      <c r="C77" s="1722"/>
      <c r="D77" s="1722"/>
      <c r="E77" s="1722"/>
      <c r="F77" s="1722"/>
      <c r="G77" s="1722"/>
      <c r="H77" s="1722"/>
      <c r="I77" s="1722"/>
      <c r="J77" s="1722"/>
      <c r="K77" s="1722"/>
      <c r="L77" s="1722"/>
      <c r="M77" s="1722"/>
      <c r="N77" s="1722"/>
      <c r="O77" s="1722"/>
      <c r="P77" s="1722"/>
      <c r="Q77" s="1722"/>
      <c r="R77" s="1722"/>
      <c r="S77" s="1722"/>
      <c r="T77" s="1722"/>
      <c r="U77" s="1722"/>
      <c r="V77" s="1722"/>
      <c r="W77" s="1722"/>
      <c r="X77" s="1722"/>
      <c r="Y77" s="1722"/>
      <c r="Z77" s="1722"/>
      <c r="AA77" s="1722"/>
      <c r="AB77" s="1722"/>
      <c r="AC77" s="1722"/>
      <c r="AD77" s="1722"/>
      <c r="AE77" s="1722"/>
      <c r="AF77" s="1722"/>
      <c r="AG77" s="1722"/>
      <c r="AH77" s="1722"/>
      <c r="AI77" s="1722"/>
      <c r="AJ77" s="1722"/>
      <c r="AK77" s="1722"/>
      <c r="AL77" s="101"/>
      <c r="AM77" s="27"/>
      <c r="AN77" s="279"/>
    </row>
    <row r="78" spans="1:46" s="4" customFormat="1" ht="12.75" customHeight="1">
      <c r="A78" s="27"/>
      <c r="B78" s="1722"/>
      <c r="C78" s="1722"/>
      <c r="D78" s="1722"/>
      <c r="E78" s="1722"/>
      <c r="F78" s="1722"/>
      <c r="G78" s="1722"/>
      <c r="H78" s="1722"/>
      <c r="I78" s="1722"/>
      <c r="J78" s="1722"/>
      <c r="K78" s="1722"/>
      <c r="L78" s="1722"/>
      <c r="M78" s="1722"/>
      <c r="N78" s="1722"/>
      <c r="O78" s="1722"/>
      <c r="P78" s="1722"/>
      <c r="Q78" s="1722"/>
      <c r="R78" s="1722"/>
      <c r="S78" s="1722"/>
      <c r="T78" s="1722"/>
      <c r="U78" s="1722"/>
      <c r="V78" s="1722"/>
      <c r="W78" s="1722"/>
      <c r="X78" s="1722"/>
      <c r="Y78" s="1722"/>
      <c r="Z78" s="1722"/>
      <c r="AA78" s="1722"/>
      <c r="AB78" s="1722"/>
      <c r="AC78" s="1722"/>
      <c r="AD78" s="1722"/>
      <c r="AE78" s="1722"/>
      <c r="AF78" s="1722"/>
      <c r="AG78" s="1722"/>
      <c r="AH78" s="1722"/>
      <c r="AI78" s="1722"/>
      <c r="AJ78" s="1722"/>
      <c r="AK78" s="1722"/>
      <c r="AL78" s="101"/>
      <c r="AM78" s="27"/>
      <c r="AN78" s="279"/>
    </row>
    <row r="79" spans="1:46" s="4" customFormat="1" ht="12.75" customHeight="1">
      <c r="A79" s="27"/>
      <c r="B79" s="1722"/>
      <c r="C79" s="1722"/>
      <c r="D79" s="1722"/>
      <c r="E79" s="1722"/>
      <c r="F79" s="1722"/>
      <c r="G79" s="1722"/>
      <c r="H79" s="1722"/>
      <c r="I79" s="1722"/>
      <c r="J79" s="1722"/>
      <c r="K79" s="1722"/>
      <c r="L79" s="1722"/>
      <c r="M79" s="1722"/>
      <c r="N79" s="1722"/>
      <c r="O79" s="1722"/>
      <c r="P79" s="1722"/>
      <c r="Q79" s="1722"/>
      <c r="R79" s="1722"/>
      <c r="S79" s="1722"/>
      <c r="T79" s="1722"/>
      <c r="U79" s="1722"/>
      <c r="V79" s="1722"/>
      <c r="W79" s="1722"/>
      <c r="X79" s="1722"/>
      <c r="Y79" s="1722"/>
      <c r="Z79" s="1722"/>
      <c r="AA79" s="1722"/>
      <c r="AB79" s="1722"/>
      <c r="AC79" s="1722"/>
      <c r="AD79" s="1722"/>
      <c r="AE79" s="1722"/>
      <c r="AF79" s="1722"/>
      <c r="AG79" s="1722"/>
      <c r="AH79" s="1722"/>
      <c r="AI79" s="1722"/>
      <c r="AJ79" s="1722"/>
      <c r="AK79" s="1722"/>
      <c r="AL79" s="101"/>
      <c r="AM79" s="27"/>
      <c r="AN79" s="279"/>
    </row>
    <row r="80" spans="1:46" s="4" customFormat="1" ht="12.75" customHeight="1">
      <c r="A80" s="27"/>
      <c r="B80" s="1722"/>
      <c r="C80" s="1722"/>
      <c r="D80" s="1722"/>
      <c r="E80" s="1722"/>
      <c r="F80" s="1722"/>
      <c r="G80" s="1722"/>
      <c r="H80" s="1722"/>
      <c r="I80" s="1722"/>
      <c r="J80" s="1722"/>
      <c r="K80" s="1722"/>
      <c r="L80" s="1722"/>
      <c r="M80" s="1722"/>
      <c r="N80" s="1722"/>
      <c r="O80" s="1722"/>
      <c r="P80" s="1722"/>
      <c r="Q80" s="1722"/>
      <c r="R80" s="1722"/>
      <c r="S80" s="1722"/>
      <c r="T80" s="1722"/>
      <c r="U80" s="1722"/>
      <c r="V80" s="1722"/>
      <c r="W80" s="1722"/>
      <c r="X80" s="1722"/>
      <c r="Y80" s="1722"/>
      <c r="Z80" s="1722"/>
      <c r="AA80" s="1722"/>
      <c r="AB80" s="1722"/>
      <c r="AC80" s="1722"/>
      <c r="AD80" s="1722"/>
      <c r="AE80" s="1722"/>
      <c r="AF80" s="1722"/>
      <c r="AG80" s="1722"/>
      <c r="AH80" s="1722"/>
      <c r="AI80" s="1722"/>
      <c r="AJ80" s="1722"/>
      <c r="AK80" s="1722"/>
      <c r="AL80" s="101"/>
      <c r="AM80" s="27"/>
      <c r="AN80" s="279"/>
    </row>
    <row r="81" spans="1:42" ht="12.75" customHeight="1">
      <c r="A81" s="27"/>
      <c r="B81" s="1722"/>
      <c r="C81" s="1722"/>
      <c r="D81" s="1722"/>
      <c r="E81" s="1722"/>
      <c r="F81" s="1722"/>
      <c r="G81" s="1722"/>
      <c r="H81" s="1722"/>
      <c r="I81" s="1722"/>
      <c r="J81" s="1722"/>
      <c r="K81" s="1722"/>
      <c r="L81" s="1722"/>
      <c r="M81" s="1722"/>
      <c r="N81" s="1722"/>
      <c r="O81" s="1722"/>
      <c r="P81" s="1722"/>
      <c r="Q81" s="1722"/>
      <c r="R81" s="1722"/>
      <c r="S81" s="1722"/>
      <c r="T81" s="1722"/>
      <c r="U81" s="1722"/>
      <c r="V81" s="1722"/>
      <c r="W81" s="1722"/>
      <c r="X81" s="1722"/>
      <c r="Y81" s="1722"/>
      <c r="Z81" s="1722"/>
      <c r="AA81" s="1722"/>
      <c r="AB81" s="1722"/>
      <c r="AC81" s="1722"/>
      <c r="AD81" s="1722"/>
      <c r="AE81" s="1722"/>
      <c r="AF81" s="1722"/>
      <c r="AG81" s="1722"/>
      <c r="AH81" s="1722"/>
      <c r="AI81" s="1722"/>
      <c r="AJ81" s="1722"/>
      <c r="AK81" s="1722"/>
      <c r="AL81" s="101"/>
      <c r="AM81" s="27"/>
    </row>
    <row r="82" spans="1:42" s="4" customFormat="1" ht="12.75" customHeight="1">
      <c r="B82" s="1722"/>
      <c r="C82" s="1722"/>
      <c r="D82" s="1722"/>
      <c r="E82" s="1722"/>
      <c r="F82" s="1722"/>
      <c r="G82" s="1722"/>
      <c r="H82" s="1722"/>
      <c r="I82" s="1722"/>
      <c r="J82" s="1722"/>
      <c r="K82" s="1722"/>
      <c r="L82" s="1722"/>
      <c r="M82" s="1722"/>
      <c r="N82" s="1722"/>
      <c r="O82" s="1722"/>
      <c r="P82" s="1722"/>
      <c r="Q82" s="1722"/>
      <c r="R82" s="1722"/>
      <c r="S82" s="1722"/>
      <c r="T82" s="1722"/>
      <c r="U82" s="1722"/>
      <c r="V82" s="1722"/>
      <c r="W82" s="1722"/>
      <c r="X82" s="1722"/>
      <c r="Y82" s="1722"/>
      <c r="Z82" s="1722"/>
      <c r="AA82" s="1722"/>
      <c r="AB82" s="1722"/>
      <c r="AC82" s="1722"/>
      <c r="AD82" s="1722"/>
      <c r="AE82" s="1722"/>
      <c r="AF82" s="1722"/>
      <c r="AG82" s="1722"/>
      <c r="AH82" s="1722"/>
      <c r="AI82" s="1722"/>
      <c r="AJ82" s="1722"/>
      <c r="AK82" s="1722"/>
      <c r="AL82" s="101"/>
      <c r="AN82" s="279"/>
    </row>
    <row r="83" spans="1:42" s="4" customFormat="1" ht="12.75" customHeight="1">
      <c r="B83" s="1722"/>
      <c r="C83" s="1722"/>
      <c r="D83" s="1722"/>
      <c r="E83" s="1722"/>
      <c r="F83" s="1722"/>
      <c r="G83" s="1722"/>
      <c r="H83" s="1722"/>
      <c r="I83" s="1722"/>
      <c r="J83" s="1722"/>
      <c r="K83" s="1722"/>
      <c r="L83" s="1722"/>
      <c r="M83" s="1722"/>
      <c r="N83" s="1722"/>
      <c r="O83" s="1722"/>
      <c r="P83" s="1722"/>
      <c r="Q83" s="1722"/>
      <c r="R83" s="1722"/>
      <c r="S83" s="1722"/>
      <c r="T83" s="1722"/>
      <c r="U83" s="1722"/>
      <c r="V83" s="1722"/>
      <c r="W83" s="1722"/>
      <c r="X83" s="1722"/>
      <c r="Y83" s="1722"/>
      <c r="Z83" s="1722"/>
      <c r="AA83" s="1722"/>
      <c r="AB83" s="1722"/>
      <c r="AC83" s="1722"/>
      <c r="AD83" s="1722"/>
      <c r="AE83" s="1722"/>
      <c r="AF83" s="1722"/>
      <c r="AG83" s="1722"/>
      <c r="AH83" s="1722"/>
      <c r="AI83" s="1722"/>
      <c r="AJ83" s="1722"/>
      <c r="AK83" s="1722"/>
      <c r="AL83" s="101"/>
      <c r="AN83" s="279"/>
    </row>
    <row r="84" spans="1:42" s="4" customFormat="1" ht="14.45" customHeight="1">
      <c r="B84" s="1722"/>
      <c r="C84" s="1722"/>
      <c r="D84" s="1722"/>
      <c r="E84" s="1722"/>
      <c r="F84" s="1722"/>
      <c r="G84" s="1722"/>
      <c r="H84" s="1722"/>
      <c r="I84" s="1722"/>
      <c r="J84" s="1722"/>
      <c r="K84" s="1722"/>
      <c r="L84" s="1722"/>
      <c r="M84" s="1722"/>
      <c r="N84" s="1722"/>
      <c r="O84" s="1722"/>
      <c r="P84" s="1722"/>
      <c r="Q84" s="1722"/>
      <c r="R84" s="1722"/>
      <c r="S84" s="1722"/>
      <c r="T84" s="1722"/>
      <c r="U84" s="1722"/>
      <c r="V84" s="1722"/>
      <c r="W84" s="1722"/>
      <c r="X84" s="1722"/>
      <c r="Y84" s="1722"/>
      <c r="Z84" s="1722"/>
      <c r="AA84" s="1722"/>
      <c r="AB84" s="1722"/>
      <c r="AC84" s="1722"/>
      <c r="AD84" s="1722"/>
      <c r="AE84" s="1722"/>
      <c r="AF84" s="1722"/>
      <c r="AG84" s="1722"/>
      <c r="AH84" s="1722"/>
      <c r="AI84" s="1722"/>
      <c r="AJ84" s="1722"/>
      <c r="AK84" s="1722"/>
      <c r="AL84" s="101"/>
      <c r="AN84" s="279"/>
    </row>
    <row r="85" spans="1:42" s="4" customFormat="1" ht="12.75" customHeight="1">
      <c r="B85" s="1722"/>
      <c r="C85" s="1722"/>
      <c r="D85" s="1722"/>
      <c r="E85" s="1722"/>
      <c r="F85" s="1722"/>
      <c r="G85" s="1722"/>
      <c r="H85" s="1722"/>
      <c r="I85" s="1722"/>
      <c r="J85" s="1722"/>
      <c r="K85" s="1722"/>
      <c r="L85" s="1722"/>
      <c r="M85" s="1722"/>
      <c r="N85" s="1722"/>
      <c r="O85" s="1722"/>
      <c r="P85" s="1722"/>
      <c r="Q85" s="1722"/>
      <c r="R85" s="1722"/>
      <c r="S85" s="1722"/>
      <c r="T85" s="1722"/>
      <c r="U85" s="1722"/>
      <c r="V85" s="1722"/>
      <c r="W85" s="1722"/>
      <c r="X85" s="1722"/>
      <c r="Y85" s="1722"/>
      <c r="Z85" s="1722"/>
      <c r="AA85" s="1722"/>
      <c r="AB85" s="1722"/>
      <c r="AC85" s="1722"/>
      <c r="AD85" s="1722"/>
      <c r="AE85" s="1722"/>
      <c r="AF85" s="1722"/>
      <c r="AG85" s="1722"/>
      <c r="AH85" s="1722"/>
      <c r="AI85" s="1722"/>
      <c r="AJ85" s="1722"/>
      <c r="AK85" s="1722"/>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8" t="s">
        <v>854</v>
      </c>
      <c r="AG90" s="1708"/>
      <c r="AH90" s="1708"/>
      <c r="AI90" s="1708"/>
      <c r="AJ90" s="1708"/>
      <c r="AK90" s="1708"/>
      <c r="AL90" s="1708"/>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8" t="s">
        <v>58</v>
      </c>
      <c r="AG95" s="1708"/>
      <c r="AH95" s="1708"/>
      <c r="AI95" s="1708"/>
      <c r="AJ95" s="1708"/>
      <c r="AK95" s="1708"/>
      <c r="AL95" s="1708"/>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8" t="s">
        <v>59</v>
      </c>
      <c r="AG100" s="1708"/>
      <c r="AH100" s="1708"/>
      <c r="AI100" s="1708"/>
      <c r="AJ100" s="1708"/>
      <c r="AK100" s="1708"/>
      <c r="AL100" s="1708"/>
      <c r="AN100" s="279"/>
      <c r="AO100" s="26" t="s">
        <v>731</v>
      </c>
      <c r="AP100" s="4">
        <f>IF(R112="",0,4)</f>
        <v>4</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8" t="s">
        <v>60</v>
      </c>
      <c r="AG105" s="1708"/>
      <c r="AH105" s="1708"/>
      <c r="AI105" s="1708"/>
      <c r="AJ105" s="1708"/>
      <c r="AK105" s="1708"/>
      <c r="AL105" s="1708"/>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8" t="s">
        <v>61</v>
      </c>
      <c r="AG109" s="1708"/>
      <c r="AH109" s="1708"/>
      <c r="AI109" s="1708"/>
      <c r="AJ109" s="1708"/>
      <c r="AK109" s="1708"/>
      <c r="AL109" s="1708"/>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52" t="s">
        <v>731</v>
      </c>
      <c r="I112" s="1752"/>
      <c r="J112" s="114"/>
      <c r="K112" s="114"/>
      <c r="L112" s="114"/>
      <c r="M112" s="933" t="s">
        <v>2087</v>
      </c>
      <c r="R112" s="1856" t="s">
        <v>2204</v>
      </c>
      <c r="S112" s="1856"/>
      <c r="T112" s="1856"/>
      <c r="U112" s="1856"/>
      <c r="V112" s="1856"/>
      <c r="W112" s="1856"/>
      <c r="Y112" s="1130" t="str">
        <f>IF(AND(H112="(i)",NOT(Application!AF419&gt;25)),AO103,IF(AND(H112="(iv)",OR(R112=AO108,R112=AO109),NOT(AP94)),AO104,""))</f>
        <v/>
      </c>
      <c r="Z112" s="1130"/>
      <c r="AA112" s="1130"/>
      <c r="AB112" s="1130"/>
      <c r="AC112" s="1130"/>
      <c r="AD112" s="1130"/>
      <c r="AE112" s="1130"/>
      <c r="AF112" s="1130"/>
      <c r="AG112" s="1130"/>
      <c r="AH112" s="1130"/>
      <c r="AI112" s="1130"/>
      <c r="AJ112" s="1130"/>
      <c r="AK112" s="1130"/>
      <c r="AL112" s="1130"/>
      <c r="AM112" s="1857"/>
      <c r="AN112" s="953"/>
    </row>
    <row r="113" spans="1:47" s="4" customFormat="1" ht="12.75" customHeight="1">
      <c r="B113" s="5"/>
      <c r="C113" s="113"/>
      <c r="E113" s="114"/>
      <c r="F113" s="114"/>
      <c r="G113" s="114"/>
      <c r="H113" s="114"/>
      <c r="I113" s="114"/>
      <c r="J113" s="114"/>
      <c r="K113" s="114"/>
      <c r="L113" s="114"/>
      <c r="M113" s="114"/>
      <c r="Y113" s="1130"/>
      <c r="Z113" s="1130"/>
      <c r="AA113" s="1130"/>
      <c r="AB113" s="1130"/>
      <c r="AC113" s="1130"/>
      <c r="AD113" s="1130"/>
      <c r="AE113" s="1130"/>
      <c r="AF113" s="1130"/>
      <c r="AG113" s="1130"/>
      <c r="AH113" s="1130"/>
      <c r="AI113" s="1130"/>
      <c r="AJ113" s="1130"/>
      <c r="AK113" s="1130"/>
      <c r="AL113" s="1130"/>
      <c r="AM113" s="1857"/>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46" t="s">
        <v>2232</v>
      </c>
      <c r="E116" s="1846"/>
      <c r="F116" s="1846"/>
      <c r="G116" s="1846"/>
      <c r="H116" s="1846"/>
      <c r="I116" s="1846"/>
      <c r="J116" s="1846"/>
      <c r="K116" s="1846"/>
      <c r="L116" s="1846"/>
      <c r="M116" s="1846"/>
      <c r="N116" s="1846"/>
      <c r="O116" s="1846"/>
      <c r="P116" s="1846"/>
      <c r="Q116" s="1846"/>
      <c r="R116" s="1846"/>
      <c r="S116" s="1846"/>
      <c r="T116" s="1846"/>
      <c r="U116" s="1846"/>
      <c r="V116" s="1846"/>
      <c r="W116" s="1846"/>
      <c r="X116" s="1846"/>
      <c r="Y116" s="1846"/>
      <c r="Z116" s="1846"/>
      <c r="AA116" s="1846"/>
      <c r="AB116" s="1846"/>
      <c r="AC116" s="1846"/>
      <c r="AD116" s="1846"/>
      <c r="AE116" s="1846"/>
      <c r="AF116" s="1846"/>
      <c r="AG116" s="1846"/>
      <c r="AH116" s="1846"/>
      <c r="AN116" s="279"/>
      <c r="AO116" s="4" t="s">
        <v>124</v>
      </c>
      <c r="AP116" s="469">
        <v>0</v>
      </c>
    </row>
    <row r="117" spans="1:47" s="4" customFormat="1" ht="12.75" customHeight="1">
      <c r="B117" s="5"/>
      <c r="C117" s="113"/>
      <c r="D117" s="1846"/>
      <c r="E117" s="1846"/>
      <c r="F117" s="1846"/>
      <c r="G117" s="1846"/>
      <c r="H117" s="1846"/>
      <c r="I117" s="1846"/>
      <c r="J117" s="1846"/>
      <c r="K117" s="1846"/>
      <c r="L117" s="1846"/>
      <c r="M117" s="1846"/>
      <c r="N117" s="1846"/>
      <c r="O117" s="1846"/>
      <c r="P117" s="1846"/>
      <c r="Q117" s="1846"/>
      <c r="R117" s="1846"/>
      <c r="S117" s="1846"/>
      <c r="T117" s="1846"/>
      <c r="U117" s="1846"/>
      <c r="V117" s="1846"/>
      <c r="W117" s="1846"/>
      <c r="X117" s="1846"/>
      <c r="Y117" s="1846"/>
      <c r="Z117" s="1846"/>
      <c r="AA117" s="1846"/>
      <c r="AB117" s="1846"/>
      <c r="AC117" s="1846"/>
      <c r="AD117" s="1846"/>
      <c r="AE117" s="1846"/>
      <c r="AF117" s="1846"/>
      <c r="AG117" s="1846"/>
      <c r="AH117" s="1846"/>
      <c r="AN117" s="279"/>
      <c r="AO117" s="4" t="s">
        <v>1469</v>
      </c>
      <c r="AP117" s="4">
        <v>3</v>
      </c>
    </row>
    <row r="118" spans="1:47" s="4" customFormat="1" ht="12.75" customHeight="1">
      <c r="B118" s="5"/>
      <c r="C118" s="113"/>
      <c r="E118" s="4" t="s">
        <v>147</v>
      </c>
      <c r="F118" s="114"/>
      <c r="G118" s="114"/>
      <c r="H118" s="1855" t="s">
        <v>124</v>
      </c>
      <c r="I118" s="1855"/>
      <c r="J118" s="1855"/>
      <c r="K118" s="1855"/>
      <c r="L118" s="1855"/>
      <c r="M118" s="1855"/>
      <c r="N118" s="1855"/>
      <c r="O118" s="1855"/>
      <c r="P118" s="1855"/>
      <c r="Q118" s="1855"/>
      <c r="R118" s="1855"/>
      <c r="S118" s="1855"/>
      <c r="T118" s="1855"/>
      <c r="U118" s="1855"/>
      <c r="V118" s="1855"/>
      <c r="W118" s="1855"/>
      <c r="X118" s="1855"/>
      <c r="Y118" s="1855"/>
      <c r="Z118" s="1855"/>
      <c r="AA118" s="1855"/>
      <c r="AB118" s="1855"/>
      <c r="AC118" s="1855"/>
      <c r="AD118" s="1855"/>
      <c r="AE118" s="1855"/>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39" t="s">
        <v>124</v>
      </c>
      <c r="C120" s="1739"/>
      <c r="D120" s="49"/>
      <c r="E120" s="1722" t="s">
        <v>1758</v>
      </c>
      <c r="F120" s="1722"/>
      <c r="G120" s="1722"/>
      <c r="H120" s="1722"/>
      <c r="I120" s="1722"/>
      <c r="J120" s="1722"/>
      <c r="K120" s="1722"/>
      <c r="L120" s="1722"/>
      <c r="M120" s="1722"/>
      <c r="N120" s="1722"/>
      <c r="O120" s="1722"/>
      <c r="P120" s="1722"/>
      <c r="Q120" s="1722"/>
      <c r="R120" s="1722"/>
      <c r="S120" s="1722"/>
      <c r="T120" s="1722"/>
      <c r="U120" s="1722"/>
      <c r="V120" s="1722"/>
      <c r="W120" s="1722"/>
      <c r="X120" s="1722"/>
      <c r="Y120" s="1722"/>
      <c r="Z120" s="1722"/>
      <c r="AA120" s="1722"/>
      <c r="AB120" s="1722"/>
      <c r="AC120" s="1722"/>
      <c r="AD120" s="1722"/>
      <c r="AE120" s="1722"/>
      <c r="AF120" s="1722"/>
      <c r="AG120" s="1722"/>
      <c r="AH120" s="49"/>
      <c r="AI120" s="49"/>
      <c r="AJ120" s="49"/>
      <c r="AK120" s="49"/>
      <c r="AL120" s="49"/>
      <c r="AN120" s="279"/>
    </row>
    <row r="121" spans="1:47" s="4" customFormat="1" ht="12.75" customHeight="1">
      <c r="B121" s="5"/>
      <c r="C121" s="113"/>
      <c r="D121" s="49"/>
      <c r="E121" s="1722"/>
      <c r="F121" s="1722"/>
      <c r="G121" s="1722"/>
      <c r="H121" s="1722"/>
      <c r="I121" s="1722"/>
      <c r="J121" s="1722"/>
      <c r="K121" s="1722"/>
      <c r="L121" s="1722"/>
      <c r="M121" s="1722"/>
      <c r="N121" s="1722"/>
      <c r="O121" s="1722"/>
      <c r="P121" s="1722"/>
      <c r="Q121" s="1722"/>
      <c r="R121" s="1722"/>
      <c r="S121" s="1722"/>
      <c r="T121" s="1722"/>
      <c r="U121" s="1722"/>
      <c r="V121" s="1722"/>
      <c r="W121" s="1722"/>
      <c r="X121" s="1722"/>
      <c r="Y121" s="1722"/>
      <c r="Z121" s="1722"/>
      <c r="AA121" s="1722"/>
      <c r="AB121" s="1722"/>
      <c r="AC121" s="1722"/>
      <c r="AD121" s="1722"/>
      <c r="AE121" s="1722"/>
      <c r="AF121" s="1722"/>
      <c r="AG121" s="1722"/>
      <c r="AH121" s="49"/>
      <c r="AI121" s="49"/>
      <c r="AJ121" s="49"/>
      <c r="AK121" s="49"/>
      <c r="AL121" s="49"/>
      <c r="AN121" s="279"/>
    </row>
    <row r="122" spans="1:47" s="4" customFormat="1" ht="12.75" customHeight="1">
      <c r="B122" s="5"/>
      <c r="C122" s="113"/>
      <c r="D122" s="49"/>
      <c r="E122" s="1722"/>
      <c r="F122" s="1722"/>
      <c r="G122" s="1722"/>
      <c r="H122" s="1722"/>
      <c r="I122" s="1722"/>
      <c r="J122" s="1722"/>
      <c r="K122" s="1722"/>
      <c r="L122" s="1722"/>
      <c r="M122" s="1722"/>
      <c r="N122" s="1722"/>
      <c r="O122" s="1722"/>
      <c r="P122" s="1722"/>
      <c r="Q122" s="1722"/>
      <c r="R122" s="1722"/>
      <c r="S122" s="1722"/>
      <c r="T122" s="1722"/>
      <c r="U122" s="1722"/>
      <c r="V122" s="1722"/>
      <c r="W122" s="1722"/>
      <c r="X122" s="1722"/>
      <c r="Y122" s="1722"/>
      <c r="Z122" s="1722"/>
      <c r="AA122" s="1722"/>
      <c r="AB122" s="1722"/>
      <c r="AC122" s="1722"/>
      <c r="AD122" s="1722"/>
      <c r="AE122" s="1722"/>
      <c r="AF122" s="1722"/>
      <c r="AG122" s="1722"/>
      <c r="AH122" s="49"/>
      <c r="AI122" s="49"/>
      <c r="AJ122" s="49"/>
      <c r="AK122" s="49"/>
      <c r="AL122" s="49"/>
      <c r="AN122" s="279"/>
    </row>
    <row r="123" spans="1:47" s="4" customFormat="1" ht="12.75" customHeight="1">
      <c r="B123" s="5"/>
      <c r="C123" s="113"/>
      <c r="D123" s="297"/>
      <c r="E123" s="1851"/>
      <c r="F123" s="1851"/>
      <c r="G123" s="1851"/>
      <c r="H123" s="1851"/>
      <c r="I123" s="1851"/>
      <c r="J123" s="1851"/>
      <c r="K123" s="1851"/>
      <c r="L123" s="1851"/>
      <c r="M123" s="1851"/>
      <c r="N123" s="1851"/>
      <c r="O123" s="1851"/>
      <c r="P123" s="1851"/>
      <c r="Q123" s="1851"/>
      <c r="R123" s="1851"/>
      <c r="S123" s="1851"/>
      <c r="T123" s="1851"/>
      <c r="U123" s="1851"/>
      <c r="V123" s="1851"/>
      <c r="W123" s="1851"/>
      <c r="X123" s="1851"/>
      <c r="Y123" s="1851"/>
      <c r="Z123" s="1851"/>
      <c r="AA123" s="1851"/>
      <c r="AB123" s="1851"/>
      <c r="AC123" s="1851"/>
      <c r="AD123" s="1851"/>
      <c r="AE123" s="1851"/>
      <c r="AF123" s="1851"/>
      <c r="AG123" s="1851"/>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85">
        <f>VLOOKUP($H$112,$AO$96:$AP$101,2,FALSE)+IF(R112=AO108,0,VLOOKUP($H$118,$AO$116:$AP$118,2,FALSE))</f>
        <v>4</v>
      </c>
      <c r="AK124" s="128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48" t="s">
        <v>1826</v>
      </c>
      <c r="F128" s="1848"/>
      <c r="G128" s="1848"/>
      <c r="H128" s="1848"/>
      <c r="I128" s="1848"/>
      <c r="J128" s="1848"/>
      <c r="K128" s="1848"/>
      <c r="L128" s="1848"/>
      <c r="M128" s="1848"/>
      <c r="N128" s="1848"/>
      <c r="O128" s="1848"/>
      <c r="P128" s="1848"/>
      <c r="Q128" s="1848"/>
      <c r="R128" s="1848"/>
      <c r="S128" s="1848"/>
      <c r="T128" s="1848"/>
      <c r="U128" s="1848"/>
      <c r="V128" s="1848"/>
      <c r="W128" s="1848"/>
      <c r="X128" s="1848"/>
      <c r="Y128" s="1848"/>
      <c r="Z128" s="1848"/>
      <c r="AA128" s="1848"/>
      <c r="AB128" s="1848"/>
      <c r="AC128" s="1848"/>
      <c r="AD128" s="1848"/>
      <c r="AF128" s="1708" t="s">
        <v>61</v>
      </c>
      <c r="AG128" s="1708"/>
      <c r="AH128" s="1708"/>
      <c r="AI128" s="1708"/>
      <c r="AJ128" s="1708"/>
      <c r="AK128" s="1708"/>
      <c r="AL128" s="1708"/>
      <c r="AM128" s="4"/>
      <c r="AN128" s="296"/>
      <c r="AO128" s="4" t="str">
        <f>S133</f>
        <v>N/A</v>
      </c>
    </row>
    <row r="129" spans="1:42" s="4" customFormat="1" ht="12.75" customHeight="1">
      <c r="A129" s="118"/>
      <c r="B129" s="5"/>
      <c r="C129" s="113"/>
      <c r="D129" s="26"/>
      <c r="E129" s="1848"/>
      <c r="F129" s="1848"/>
      <c r="G129" s="1848"/>
      <c r="H129" s="1848"/>
      <c r="I129" s="1848"/>
      <c r="J129" s="1848"/>
      <c r="K129" s="1848"/>
      <c r="L129" s="1848"/>
      <c r="M129" s="1848"/>
      <c r="N129" s="1848"/>
      <c r="O129" s="1848"/>
      <c r="P129" s="1848"/>
      <c r="Q129" s="1848"/>
      <c r="R129" s="1848"/>
      <c r="S129" s="1848"/>
      <c r="T129" s="1848"/>
      <c r="U129" s="1848"/>
      <c r="V129" s="1848"/>
      <c r="W129" s="1848"/>
      <c r="X129" s="1848"/>
      <c r="Y129" s="1848"/>
      <c r="Z129" s="1848"/>
      <c r="AA129" s="1848"/>
      <c r="AB129" s="1848"/>
      <c r="AC129" s="1848"/>
      <c r="AD129" s="1848"/>
      <c r="AF129" s="5"/>
      <c r="AN129" s="279"/>
    </row>
    <row r="130" spans="1:42" s="4" customFormat="1" ht="12.75" customHeight="1">
      <c r="B130" s="5"/>
      <c r="C130" s="45"/>
      <c r="D130" s="26"/>
      <c r="E130" s="1848"/>
      <c r="F130" s="1848"/>
      <c r="G130" s="1848"/>
      <c r="H130" s="1848"/>
      <c r="I130" s="1848"/>
      <c r="J130" s="1848"/>
      <c r="K130" s="1848"/>
      <c r="L130" s="1848"/>
      <c r="M130" s="1848"/>
      <c r="N130" s="1848"/>
      <c r="O130" s="1848"/>
      <c r="P130" s="1848"/>
      <c r="Q130" s="1848"/>
      <c r="R130" s="1848"/>
      <c r="S130" s="1848"/>
      <c r="T130" s="1848"/>
      <c r="U130" s="1848"/>
      <c r="V130" s="1848"/>
      <c r="W130" s="1848"/>
      <c r="X130" s="1848"/>
      <c r="Y130" s="1848"/>
      <c r="Z130" s="1848"/>
      <c r="AA130" s="1848"/>
      <c r="AB130" s="1848"/>
      <c r="AC130" s="1848"/>
      <c r="AD130" s="1848"/>
      <c r="AF130" s="5"/>
      <c r="AN130" s="279"/>
    </row>
    <row r="131" spans="1:42" s="4" customFormat="1" ht="12.75" customHeight="1">
      <c r="A131" s="35"/>
      <c r="B131" s="100"/>
      <c r="C131" s="119"/>
      <c r="D131" s="26"/>
      <c r="E131" s="1848"/>
      <c r="F131" s="1848"/>
      <c r="G131" s="1848"/>
      <c r="H131" s="1848"/>
      <c r="I131" s="1848"/>
      <c r="J131" s="1848"/>
      <c r="K131" s="1848"/>
      <c r="L131" s="1848"/>
      <c r="M131" s="1848"/>
      <c r="N131" s="1848"/>
      <c r="O131" s="1848"/>
      <c r="P131" s="1848"/>
      <c r="Q131" s="1848"/>
      <c r="R131" s="1848"/>
      <c r="S131" s="1848"/>
      <c r="T131" s="1848"/>
      <c r="U131" s="1848"/>
      <c r="V131" s="1848"/>
      <c r="W131" s="1848"/>
      <c r="X131" s="1848"/>
      <c r="Y131" s="1848"/>
      <c r="Z131" s="1848"/>
      <c r="AA131" s="1848"/>
      <c r="AB131" s="1848"/>
      <c r="AC131" s="1848"/>
      <c r="AD131" s="1848"/>
      <c r="AE131" s="19"/>
      <c r="AF131" s="100"/>
      <c r="AG131" s="19"/>
      <c r="AH131" s="19"/>
      <c r="AI131" s="19"/>
      <c r="AJ131" s="19"/>
      <c r="AN131" s="279"/>
    </row>
    <row r="132" spans="1:42" s="4" customFormat="1" ht="22.9" customHeight="1">
      <c r="B132" s="100"/>
      <c r="C132" s="119"/>
      <c r="D132" s="26"/>
      <c r="E132" s="1848"/>
      <c r="F132" s="1848"/>
      <c r="G132" s="1848"/>
      <c r="H132" s="1848"/>
      <c r="I132" s="1848"/>
      <c r="J132" s="1848"/>
      <c r="K132" s="1848"/>
      <c r="L132" s="1848"/>
      <c r="M132" s="1848"/>
      <c r="N132" s="1848"/>
      <c r="O132" s="1848"/>
      <c r="P132" s="1848"/>
      <c r="Q132" s="1848"/>
      <c r="R132" s="1848"/>
      <c r="S132" s="1848"/>
      <c r="T132" s="1848"/>
      <c r="U132" s="1848"/>
      <c r="V132" s="1848"/>
      <c r="W132" s="1848"/>
      <c r="X132" s="1848"/>
      <c r="Y132" s="1848"/>
      <c r="Z132" s="1848"/>
      <c r="AA132" s="1848"/>
      <c r="AB132" s="1848"/>
      <c r="AC132" s="1848"/>
      <c r="AD132" s="1848"/>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47" t="s">
        <v>124</v>
      </c>
      <c r="T133" s="1847"/>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8" t="s">
        <v>103</v>
      </c>
      <c r="AG135" s="1708"/>
      <c r="AH135" s="1708"/>
      <c r="AI135" s="1708"/>
      <c r="AJ135" s="1708"/>
      <c r="AK135" s="1708"/>
      <c r="AL135" s="170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52" t="s">
        <v>581</v>
      </c>
      <c r="I137" s="1752"/>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85">
        <f>VLOOKUP($H$137,$AO$133:$AP$135,2,FALSE)</f>
        <v>3</v>
      </c>
      <c r="AK139" s="128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8" t="s">
        <v>61</v>
      </c>
      <c r="AG143" s="1708"/>
      <c r="AH143" s="1708"/>
      <c r="AI143" s="1708"/>
      <c r="AJ143" s="1708"/>
      <c r="AK143" s="1708"/>
      <c r="AL143" s="1708"/>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103</v>
      </c>
      <c r="AG146" s="1708"/>
      <c r="AH146" s="1708"/>
      <c r="AI146" s="1708"/>
      <c r="AJ146" s="1708"/>
      <c r="AK146" s="1708"/>
      <c r="AL146" s="1708"/>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52" t="s">
        <v>124</v>
      </c>
      <c r="I149" s="1752"/>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85">
        <f>VLOOKUP(H149,AO140:AP142,2,FALSE)</f>
        <v>0</v>
      </c>
      <c r="AK151" s="128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22" t="s">
        <v>746</v>
      </c>
      <c r="F156" s="1722"/>
      <c r="G156" s="1722"/>
      <c r="H156" s="1722"/>
      <c r="I156" s="1722"/>
      <c r="J156" s="1722"/>
      <c r="K156" s="1722"/>
      <c r="L156" s="1722"/>
      <c r="M156" s="1722"/>
      <c r="N156" s="1722"/>
      <c r="O156" s="1722"/>
      <c r="P156" s="1722"/>
      <c r="Q156" s="1722"/>
      <c r="R156" s="1722"/>
      <c r="S156" s="1722"/>
      <c r="T156" s="1722"/>
      <c r="U156" s="1722"/>
      <c r="V156" s="1722"/>
      <c r="W156" s="1722"/>
      <c r="X156" s="1722"/>
      <c r="Y156" s="1722"/>
      <c r="Z156" s="1722"/>
      <c r="AA156" s="1722"/>
      <c r="AB156" s="1722"/>
      <c r="AC156" s="1722"/>
      <c r="AE156" s="340"/>
      <c r="AF156" s="1450" t="s">
        <v>59</v>
      </c>
      <c r="AG156" s="1450"/>
      <c r="AH156" s="1450"/>
      <c r="AI156" s="1450"/>
      <c r="AJ156" s="1450"/>
      <c r="AK156" s="1450"/>
      <c r="AL156" s="1450"/>
      <c r="AN156" s="279"/>
    </row>
    <row r="157" spans="1:42" s="4" customFormat="1" ht="12.75" customHeight="1">
      <c r="C157" s="3"/>
      <c r="E157" s="1722"/>
      <c r="F157" s="1722"/>
      <c r="G157" s="1722"/>
      <c r="H157" s="1722"/>
      <c r="I157" s="1722"/>
      <c r="J157" s="1722"/>
      <c r="K157" s="1722"/>
      <c r="L157" s="1722"/>
      <c r="M157" s="1722"/>
      <c r="N157" s="1722"/>
      <c r="O157" s="1722"/>
      <c r="P157" s="1722"/>
      <c r="Q157" s="1722"/>
      <c r="R157" s="1722"/>
      <c r="S157" s="1722"/>
      <c r="T157" s="1722"/>
      <c r="U157" s="1722"/>
      <c r="V157" s="1722"/>
      <c r="W157" s="1722"/>
      <c r="X157" s="1722"/>
      <c r="Y157" s="1722"/>
      <c r="Z157" s="1722"/>
      <c r="AA157" s="1722"/>
      <c r="AB157" s="1722"/>
      <c r="AC157" s="1722"/>
      <c r="AE157" s="340"/>
      <c r="AF157" s="340"/>
      <c r="AG157" s="340"/>
      <c r="AH157" s="340"/>
      <c r="AI157" s="340"/>
      <c r="AJ157" s="340"/>
      <c r="AK157" s="340"/>
      <c r="AL157" s="340"/>
      <c r="AN157" s="279"/>
    </row>
    <row r="158" spans="1:42" s="4" customFormat="1" ht="12.75" customHeight="1">
      <c r="C158" s="3"/>
      <c r="D158" s="26"/>
      <c r="E158" s="1722"/>
      <c r="F158" s="1722"/>
      <c r="G158" s="1722"/>
      <c r="H158" s="1722"/>
      <c r="I158" s="1722"/>
      <c r="J158" s="1722"/>
      <c r="K158" s="1722"/>
      <c r="L158" s="1722"/>
      <c r="M158" s="1722"/>
      <c r="N158" s="1722"/>
      <c r="O158" s="1722"/>
      <c r="P158" s="1722"/>
      <c r="Q158" s="1722"/>
      <c r="R158" s="1722"/>
      <c r="S158" s="1722"/>
      <c r="T158" s="1722"/>
      <c r="U158" s="1722"/>
      <c r="V158" s="1722"/>
      <c r="W158" s="1722"/>
      <c r="X158" s="1722"/>
      <c r="Y158" s="1722"/>
      <c r="Z158" s="1722"/>
      <c r="AA158" s="1722"/>
      <c r="AB158" s="1722"/>
      <c r="AC158" s="172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22" t="s">
        <v>1707</v>
      </c>
      <c r="F160" s="1722"/>
      <c r="G160" s="1722"/>
      <c r="H160" s="1722"/>
      <c r="I160" s="1722"/>
      <c r="J160" s="1722"/>
      <c r="K160" s="1722"/>
      <c r="L160" s="1722"/>
      <c r="M160" s="1722"/>
      <c r="N160" s="1722"/>
      <c r="O160" s="1722"/>
      <c r="P160" s="1722"/>
      <c r="Q160" s="1722"/>
      <c r="R160" s="1722"/>
      <c r="S160" s="1722"/>
      <c r="T160" s="1722"/>
      <c r="U160" s="1722"/>
      <c r="V160" s="1722"/>
      <c r="W160" s="1722"/>
      <c r="X160" s="1722"/>
      <c r="Y160" s="1722"/>
      <c r="Z160" s="1722"/>
      <c r="AA160" s="1722"/>
      <c r="AB160" s="1722"/>
      <c r="AC160" s="1722"/>
      <c r="AE160" s="340"/>
      <c r="AF160" s="1450" t="s">
        <v>60</v>
      </c>
      <c r="AG160" s="1450"/>
      <c r="AH160" s="1450"/>
      <c r="AI160" s="1450"/>
      <c r="AJ160" s="1450"/>
      <c r="AK160" s="1450"/>
      <c r="AL160" s="1450"/>
      <c r="AN160" s="279"/>
    </row>
    <row r="161" spans="1:42" s="4" customFormat="1" ht="12.75" customHeight="1">
      <c r="C161" s="3"/>
      <c r="E161" s="1722"/>
      <c r="F161" s="1722"/>
      <c r="G161" s="1722"/>
      <c r="H161" s="1722"/>
      <c r="I161" s="1722"/>
      <c r="J161" s="1722"/>
      <c r="K161" s="1722"/>
      <c r="L161" s="1722"/>
      <c r="M161" s="1722"/>
      <c r="N161" s="1722"/>
      <c r="O161" s="1722"/>
      <c r="P161" s="1722"/>
      <c r="Q161" s="1722"/>
      <c r="R161" s="1722"/>
      <c r="S161" s="1722"/>
      <c r="T161" s="1722"/>
      <c r="U161" s="1722"/>
      <c r="V161" s="1722"/>
      <c r="W161" s="1722"/>
      <c r="X161" s="1722"/>
      <c r="Y161" s="1722"/>
      <c r="Z161" s="1722"/>
      <c r="AA161" s="1722"/>
      <c r="AB161" s="1722"/>
      <c r="AC161" s="1722"/>
      <c r="AE161" s="340"/>
      <c r="AF161" s="340"/>
      <c r="AG161" s="340"/>
      <c r="AH161" s="340"/>
      <c r="AI161" s="340"/>
      <c r="AJ161" s="340"/>
      <c r="AK161" s="340"/>
      <c r="AL161" s="340"/>
      <c r="AN161" s="279"/>
    </row>
    <row r="162" spans="1:42" s="4" customFormat="1" ht="15" customHeight="1">
      <c r="C162" s="3"/>
      <c r="D162" s="26"/>
      <c r="E162" s="1722"/>
      <c r="F162" s="1722"/>
      <c r="G162" s="1722"/>
      <c r="H162" s="1722"/>
      <c r="I162" s="1722"/>
      <c r="J162" s="1722"/>
      <c r="K162" s="1722"/>
      <c r="L162" s="1722"/>
      <c r="M162" s="1722"/>
      <c r="N162" s="1722"/>
      <c r="O162" s="1722"/>
      <c r="P162" s="1722"/>
      <c r="Q162" s="1722"/>
      <c r="R162" s="1722"/>
      <c r="S162" s="1722"/>
      <c r="T162" s="1722"/>
      <c r="U162" s="1722"/>
      <c r="V162" s="1722"/>
      <c r="W162" s="1722"/>
      <c r="X162" s="1722"/>
      <c r="Y162" s="1722"/>
      <c r="Z162" s="1722"/>
      <c r="AA162" s="1722"/>
      <c r="AB162" s="1722"/>
      <c r="AC162" s="172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22" t="s">
        <v>1708</v>
      </c>
      <c r="F164" s="1722"/>
      <c r="G164" s="1722"/>
      <c r="H164" s="1722"/>
      <c r="I164" s="1722"/>
      <c r="J164" s="1722"/>
      <c r="K164" s="1722"/>
      <c r="L164" s="1722"/>
      <c r="M164" s="1722"/>
      <c r="N164" s="1722"/>
      <c r="O164" s="1722"/>
      <c r="P164" s="1722"/>
      <c r="Q164" s="1722"/>
      <c r="R164" s="1722"/>
      <c r="S164" s="1722"/>
      <c r="T164" s="1722"/>
      <c r="U164" s="1722"/>
      <c r="V164" s="1722"/>
      <c r="W164" s="1722"/>
      <c r="X164" s="1722"/>
      <c r="Y164" s="1722"/>
      <c r="Z164" s="1722"/>
      <c r="AA164" s="1722"/>
      <c r="AB164" s="1722"/>
      <c r="AC164" s="1722"/>
      <c r="AE164" s="340"/>
      <c r="AF164" s="1450" t="s">
        <v>61</v>
      </c>
      <c r="AG164" s="1450"/>
      <c r="AH164" s="1450"/>
      <c r="AI164" s="1450"/>
      <c r="AJ164" s="1450"/>
      <c r="AK164" s="1450"/>
      <c r="AL164" s="1450"/>
      <c r="AN164" s="279"/>
    </row>
    <row r="165" spans="1:42" s="4" customFormat="1" ht="12.75" customHeight="1">
      <c r="B165" s="5"/>
      <c r="C165" s="45"/>
      <c r="E165" s="1722"/>
      <c r="F165" s="1722"/>
      <c r="G165" s="1722"/>
      <c r="H165" s="1722"/>
      <c r="I165" s="1722"/>
      <c r="J165" s="1722"/>
      <c r="K165" s="1722"/>
      <c r="L165" s="1722"/>
      <c r="M165" s="1722"/>
      <c r="N165" s="1722"/>
      <c r="O165" s="1722"/>
      <c r="P165" s="1722"/>
      <c r="Q165" s="1722"/>
      <c r="R165" s="1722"/>
      <c r="S165" s="1722"/>
      <c r="T165" s="1722"/>
      <c r="U165" s="1722"/>
      <c r="V165" s="1722"/>
      <c r="W165" s="1722"/>
      <c r="X165" s="1722"/>
      <c r="Y165" s="1722"/>
      <c r="Z165" s="1722"/>
      <c r="AA165" s="1722"/>
      <c r="AB165" s="1722"/>
      <c r="AC165" s="1722"/>
      <c r="AE165" s="1450"/>
      <c r="AF165" s="1450"/>
      <c r="AG165" s="1450"/>
      <c r="AH165" s="1450"/>
      <c r="AI165" s="1450"/>
      <c r="AJ165" s="1450"/>
      <c r="AK165" s="1450"/>
      <c r="AL165" s="963"/>
      <c r="AN165" s="279"/>
    </row>
    <row r="166" spans="1:42" s="4" customFormat="1" ht="12.75" customHeight="1">
      <c r="A166" s="118"/>
      <c r="D166" s="26"/>
      <c r="E166" s="1722"/>
      <c r="F166" s="1722"/>
      <c r="G166" s="1722"/>
      <c r="H166" s="1722"/>
      <c r="I166" s="1722"/>
      <c r="J166" s="1722"/>
      <c r="K166" s="1722"/>
      <c r="L166" s="1722"/>
      <c r="M166" s="1722"/>
      <c r="N166" s="1722"/>
      <c r="O166" s="1722"/>
      <c r="P166" s="1722"/>
      <c r="Q166" s="1722"/>
      <c r="R166" s="1722"/>
      <c r="S166" s="1722"/>
      <c r="T166" s="1722"/>
      <c r="U166" s="1722"/>
      <c r="V166" s="1722"/>
      <c r="W166" s="1722"/>
      <c r="X166" s="1722"/>
      <c r="Y166" s="1722"/>
      <c r="Z166" s="1722"/>
      <c r="AA166" s="1722"/>
      <c r="AB166" s="1722"/>
      <c r="AC166" s="172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22" t="s">
        <v>1709</v>
      </c>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2"/>
      <c r="AC168" s="1722"/>
      <c r="AE168" s="340"/>
      <c r="AF168" s="1450" t="s">
        <v>60</v>
      </c>
      <c r="AG168" s="1450"/>
      <c r="AH168" s="1450"/>
      <c r="AI168" s="1450"/>
      <c r="AJ168" s="1450"/>
      <c r="AK168" s="1450"/>
      <c r="AL168" s="1450"/>
      <c r="AN168" s="279"/>
    </row>
    <row r="169" spans="1:42" s="4" customFormat="1" ht="12.75" customHeight="1">
      <c r="A169" s="109"/>
      <c r="B169" s="5"/>
      <c r="C169" s="124"/>
      <c r="D169" s="26"/>
      <c r="E169" s="1722"/>
      <c r="F169" s="1722"/>
      <c r="G169" s="1722"/>
      <c r="H169" s="1722"/>
      <c r="I169" s="1722"/>
      <c r="J169" s="1722"/>
      <c r="K169" s="1722"/>
      <c r="L169" s="1722"/>
      <c r="M169" s="1722"/>
      <c r="N169" s="1722"/>
      <c r="O169" s="1722"/>
      <c r="P169" s="1722"/>
      <c r="Q169" s="1722"/>
      <c r="R169" s="1722"/>
      <c r="S169" s="1722"/>
      <c r="T169" s="1722"/>
      <c r="U169" s="1722"/>
      <c r="V169" s="1722"/>
      <c r="W169" s="1722"/>
      <c r="X169" s="1722"/>
      <c r="Y169" s="1722"/>
      <c r="Z169" s="1722"/>
      <c r="AA169" s="1722"/>
      <c r="AB169" s="1722"/>
      <c r="AC169" s="172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22"/>
      <c r="F170" s="1722"/>
      <c r="G170" s="1722"/>
      <c r="H170" s="1722"/>
      <c r="I170" s="1722"/>
      <c r="J170" s="1722"/>
      <c r="K170" s="1722"/>
      <c r="L170" s="1722"/>
      <c r="M170" s="1722"/>
      <c r="N170" s="1722"/>
      <c r="O170" s="1722"/>
      <c r="P170" s="1722"/>
      <c r="Q170" s="1722"/>
      <c r="R170" s="1722"/>
      <c r="S170" s="1722"/>
      <c r="T170" s="1722"/>
      <c r="U170" s="1722"/>
      <c r="V170" s="1722"/>
      <c r="W170" s="1722"/>
      <c r="X170" s="1722"/>
      <c r="Y170" s="1722"/>
      <c r="Z170" s="1722"/>
      <c r="AA170" s="1722"/>
      <c r="AB170" s="1722"/>
      <c r="AC170" s="1722"/>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22" t="s">
        <v>1710</v>
      </c>
      <c r="F172" s="1722"/>
      <c r="G172" s="1722"/>
      <c r="H172" s="1722"/>
      <c r="I172" s="1722"/>
      <c r="J172" s="1722"/>
      <c r="K172" s="1722"/>
      <c r="L172" s="1722"/>
      <c r="M172" s="1722"/>
      <c r="N172" s="1722"/>
      <c r="O172" s="1722"/>
      <c r="P172" s="1722"/>
      <c r="Q172" s="1722"/>
      <c r="R172" s="1722"/>
      <c r="S172" s="1722"/>
      <c r="T172" s="1722"/>
      <c r="U172" s="1722"/>
      <c r="V172" s="1722"/>
      <c r="W172" s="1722"/>
      <c r="X172" s="1722"/>
      <c r="Y172" s="1722"/>
      <c r="Z172" s="1722"/>
      <c r="AA172" s="1722"/>
      <c r="AB172" s="1722"/>
      <c r="AC172" s="1722"/>
      <c r="AE172" s="340"/>
      <c r="AF172" s="1450" t="s">
        <v>61</v>
      </c>
      <c r="AG172" s="1450"/>
      <c r="AH172" s="1450"/>
      <c r="AI172" s="1450"/>
      <c r="AJ172" s="1450"/>
      <c r="AK172" s="1450"/>
      <c r="AL172" s="1450"/>
      <c r="AM172" s="20"/>
      <c r="AN172" s="279"/>
      <c r="AO172" s="26" t="s">
        <v>890</v>
      </c>
      <c r="AP172" s="4">
        <v>3</v>
      </c>
    </row>
    <row r="173" spans="1:42" s="4" customFormat="1" ht="12.75" customHeight="1">
      <c r="B173" s="5"/>
      <c r="C173" s="45"/>
      <c r="D173" s="26"/>
      <c r="E173" s="1722"/>
      <c r="F173" s="1722"/>
      <c r="G173" s="1722"/>
      <c r="H173" s="1722"/>
      <c r="I173" s="1722"/>
      <c r="J173" s="1722"/>
      <c r="K173" s="1722"/>
      <c r="L173" s="1722"/>
      <c r="M173" s="1722"/>
      <c r="N173" s="1722"/>
      <c r="O173" s="1722"/>
      <c r="P173" s="1722"/>
      <c r="Q173" s="1722"/>
      <c r="R173" s="1722"/>
      <c r="S173" s="1722"/>
      <c r="T173" s="1722"/>
      <c r="U173" s="1722"/>
      <c r="V173" s="1722"/>
      <c r="W173" s="1722"/>
      <c r="X173" s="1722"/>
      <c r="Y173" s="1722"/>
      <c r="Z173" s="1722"/>
      <c r="AA173" s="1722"/>
      <c r="AB173" s="1722"/>
      <c r="AC173" s="1722"/>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22"/>
      <c r="F174" s="1722"/>
      <c r="G174" s="1722"/>
      <c r="H174" s="1722"/>
      <c r="I174" s="1722"/>
      <c r="J174" s="1722"/>
      <c r="K174" s="1722"/>
      <c r="L174" s="1722"/>
      <c r="M174" s="1722"/>
      <c r="N174" s="1722"/>
      <c r="O174" s="1722"/>
      <c r="P174" s="1722"/>
      <c r="Q174" s="1722"/>
      <c r="R174" s="1722"/>
      <c r="S174" s="1722"/>
      <c r="T174" s="1722"/>
      <c r="U174" s="1722"/>
      <c r="V174" s="1722"/>
      <c r="W174" s="1722"/>
      <c r="X174" s="1722"/>
      <c r="Y174" s="1722"/>
      <c r="Z174" s="1722"/>
      <c r="AA174" s="1722"/>
      <c r="AB174" s="1722"/>
      <c r="AC174" s="1722"/>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22" t="s">
        <v>1471</v>
      </c>
      <c r="F176" s="1722"/>
      <c r="G176" s="1722"/>
      <c r="H176" s="1722"/>
      <c r="I176" s="1722"/>
      <c r="J176" s="1722"/>
      <c r="K176" s="1722"/>
      <c r="L176" s="1722"/>
      <c r="M176" s="1722"/>
      <c r="N176" s="1722"/>
      <c r="O176" s="1722"/>
      <c r="P176" s="1722"/>
      <c r="Q176" s="1722"/>
      <c r="R176" s="1722"/>
      <c r="S176" s="1722"/>
      <c r="T176" s="1722"/>
      <c r="U176" s="1722"/>
      <c r="V176" s="1722"/>
      <c r="W176" s="1722"/>
      <c r="X176" s="1722"/>
      <c r="Y176" s="1722"/>
      <c r="Z176" s="1722"/>
      <c r="AA176" s="1722"/>
      <c r="AB176" s="1722"/>
      <c r="AC176" s="1722"/>
      <c r="AE176" s="340"/>
      <c r="AF176" s="1450" t="s">
        <v>103</v>
      </c>
      <c r="AG176" s="1450"/>
      <c r="AH176" s="1450"/>
      <c r="AI176" s="1450"/>
      <c r="AJ176" s="1450"/>
      <c r="AK176" s="1450"/>
      <c r="AL176" s="1450"/>
      <c r="AM176" s="20"/>
      <c r="AN176" s="279"/>
      <c r="AO176" s="26" t="s">
        <v>281</v>
      </c>
      <c r="AP176" s="4">
        <v>1</v>
      </c>
    </row>
    <row r="177" spans="1:61" s="4" customFormat="1" ht="22.9" customHeight="1">
      <c r="A177" s="118"/>
      <c r="B177" s="5"/>
      <c r="C177" s="45"/>
      <c r="D177" s="26"/>
      <c r="E177" s="1722"/>
      <c r="F177" s="1722"/>
      <c r="G177" s="1722"/>
      <c r="H177" s="1722"/>
      <c r="I177" s="1722"/>
      <c r="J177" s="1722"/>
      <c r="K177" s="1722"/>
      <c r="L177" s="1722"/>
      <c r="M177" s="1722"/>
      <c r="N177" s="1722"/>
      <c r="O177" s="1722"/>
      <c r="P177" s="1722"/>
      <c r="Q177" s="1722"/>
      <c r="R177" s="1722"/>
      <c r="S177" s="1722"/>
      <c r="T177" s="1722"/>
      <c r="U177" s="1722"/>
      <c r="V177" s="1722"/>
      <c r="W177" s="1722"/>
      <c r="X177" s="1722"/>
      <c r="Y177" s="1722"/>
      <c r="Z177" s="1722"/>
      <c r="AA177" s="1722"/>
      <c r="AB177" s="1722"/>
      <c r="AC177" s="172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22" t="s">
        <v>1472</v>
      </c>
      <c r="F179" s="1722"/>
      <c r="G179" s="1722"/>
      <c r="H179" s="1722"/>
      <c r="I179" s="1722"/>
      <c r="J179" s="1722"/>
      <c r="K179" s="1722"/>
      <c r="L179" s="1722"/>
      <c r="M179" s="1722"/>
      <c r="N179" s="1722"/>
      <c r="O179" s="1722"/>
      <c r="P179" s="1722"/>
      <c r="Q179" s="1722"/>
      <c r="R179" s="1722"/>
      <c r="S179" s="1722"/>
      <c r="T179" s="1722"/>
      <c r="U179" s="1722"/>
      <c r="V179" s="1722"/>
      <c r="W179" s="1722"/>
      <c r="X179" s="1722"/>
      <c r="Y179" s="1722"/>
      <c r="Z179" s="1722"/>
      <c r="AA179" s="1722"/>
      <c r="AB179" s="1722"/>
      <c r="AC179" s="1722"/>
      <c r="AE179" s="340"/>
      <c r="AF179" s="1450" t="s">
        <v>318</v>
      </c>
      <c r="AG179" s="1450"/>
      <c r="AH179" s="1450"/>
      <c r="AI179" s="1450"/>
      <c r="AJ179" s="1450"/>
      <c r="AK179" s="1450"/>
      <c r="AL179" s="1450"/>
      <c r="AM179" s="20"/>
      <c r="AN179" s="279"/>
    </row>
    <row r="180" spans="1:61" s="4" customFormat="1" ht="22.9" customHeight="1">
      <c r="A180" s="118"/>
      <c r="B180" s="5"/>
      <c r="C180" s="45"/>
      <c r="D180" s="26"/>
      <c r="E180" s="1722"/>
      <c r="F180" s="1722"/>
      <c r="G180" s="1722"/>
      <c r="H180" s="1722"/>
      <c r="I180" s="1722"/>
      <c r="J180" s="1722"/>
      <c r="K180" s="1722"/>
      <c r="L180" s="1722"/>
      <c r="M180" s="1722"/>
      <c r="N180" s="1722"/>
      <c r="O180" s="1722"/>
      <c r="P180" s="1722"/>
      <c r="Q180" s="1722"/>
      <c r="R180" s="1722"/>
      <c r="S180" s="1722"/>
      <c r="T180" s="1722"/>
      <c r="U180" s="1722"/>
      <c r="V180" s="1722"/>
      <c r="W180" s="1722"/>
      <c r="X180" s="1722"/>
      <c r="Y180" s="1722"/>
      <c r="Z180" s="1722"/>
      <c r="AA180" s="1722"/>
      <c r="AB180" s="1722"/>
      <c r="AC180" s="172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52" t="s">
        <v>581</v>
      </c>
      <c r="I182" s="1752"/>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85">
        <f>VLOOKUP($H$182,$AO$169:$AP$176,2,FALSE)</f>
        <v>5</v>
      </c>
      <c r="AK184" s="128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907" t="s">
        <v>2285</v>
      </c>
      <c r="F188" s="1907"/>
      <c r="G188" s="1907"/>
      <c r="H188" s="1907"/>
      <c r="I188" s="1907"/>
      <c r="J188" s="1907"/>
      <c r="K188" s="1907"/>
      <c r="L188" s="1907"/>
      <c r="M188" s="1907"/>
      <c r="N188" s="1907"/>
      <c r="O188" s="1907"/>
      <c r="P188" s="1907"/>
      <c r="Q188" s="1907"/>
      <c r="R188" s="1907"/>
      <c r="S188" s="1907"/>
      <c r="T188" s="1907"/>
      <c r="U188" s="1907"/>
      <c r="V188" s="1907"/>
      <c r="W188" s="1907"/>
      <c r="X188" s="1907"/>
      <c r="Y188" s="1907"/>
      <c r="Z188" s="1907"/>
      <c r="AA188" s="1907"/>
      <c r="AB188" s="1907"/>
      <c r="AD188" s="5"/>
      <c r="AF188" s="1370" t="s">
        <v>61</v>
      </c>
      <c r="AG188" s="1370"/>
      <c r="AH188" s="1370"/>
      <c r="AI188" s="1370"/>
      <c r="AJ188" s="1370"/>
      <c r="AK188" s="1370"/>
      <c r="AL188" s="1370"/>
      <c r="AN188" s="279"/>
    </row>
    <row r="189" spans="1:61" s="4" customFormat="1" ht="12.75" customHeight="1">
      <c r="A189" s="118"/>
      <c r="B189" s="5"/>
      <c r="C189" s="128"/>
      <c r="D189" s="26"/>
      <c r="E189" s="1907"/>
      <c r="F189" s="1907"/>
      <c r="G189" s="1907"/>
      <c r="H189" s="1907"/>
      <c r="I189" s="1907"/>
      <c r="J189" s="1907"/>
      <c r="K189" s="1907"/>
      <c r="L189" s="1907"/>
      <c r="M189" s="1907"/>
      <c r="N189" s="1907"/>
      <c r="O189" s="1907"/>
      <c r="P189" s="1907"/>
      <c r="Q189" s="1907"/>
      <c r="R189" s="1907"/>
      <c r="S189" s="1907"/>
      <c r="T189" s="1907"/>
      <c r="U189" s="1907"/>
      <c r="V189" s="1907"/>
      <c r="W189" s="1907"/>
      <c r="X189" s="1907"/>
      <c r="Y189" s="1907"/>
      <c r="Z189" s="1907"/>
      <c r="AA189" s="1907"/>
      <c r="AB189" s="1907"/>
      <c r="AD189" s="5"/>
      <c r="AF189" s="1370"/>
      <c r="AG189" s="1370"/>
      <c r="AH189" s="1370"/>
      <c r="AI189" s="1370"/>
      <c r="AJ189" s="1370"/>
      <c r="AK189" s="1370"/>
      <c r="AL189" s="137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22" t="s">
        <v>2218</v>
      </c>
      <c r="F191" s="1722"/>
      <c r="G191" s="1722"/>
      <c r="H191" s="1722"/>
      <c r="I191" s="1722"/>
      <c r="J191" s="1722"/>
      <c r="K191" s="1722"/>
      <c r="L191" s="1722"/>
      <c r="M191" s="1722"/>
      <c r="N191" s="1722"/>
      <c r="O191" s="1722"/>
      <c r="P191" s="1722"/>
      <c r="Q191" s="1722"/>
      <c r="R191" s="1722"/>
      <c r="S191" s="1722"/>
      <c r="T191" s="1722"/>
      <c r="U191" s="1722"/>
      <c r="V191" s="1722"/>
      <c r="W191" s="1722"/>
      <c r="X191" s="1722"/>
      <c r="Y191" s="1722"/>
      <c r="Z191" s="1722"/>
      <c r="AA191" s="1722"/>
      <c r="AB191" s="1722"/>
      <c r="AF191" s="1450" t="s">
        <v>61</v>
      </c>
      <c r="AG191" s="1450"/>
      <c r="AH191" s="1450"/>
      <c r="AI191" s="1450"/>
      <c r="AJ191" s="1450"/>
      <c r="AK191" s="1450"/>
      <c r="AL191" s="1450"/>
      <c r="AN191" s="279"/>
      <c r="AO191" s="26" t="s">
        <v>581</v>
      </c>
      <c r="AP191" s="4">
        <v>3</v>
      </c>
    </row>
    <row r="192" spans="1:61" s="4" customFormat="1" ht="12.75" customHeight="1">
      <c r="B192" s="5"/>
      <c r="C192" s="119"/>
      <c r="E192" s="1722"/>
      <c r="F192" s="1722"/>
      <c r="G192" s="1722"/>
      <c r="H192" s="1722"/>
      <c r="I192" s="1722"/>
      <c r="J192" s="1722"/>
      <c r="K192" s="1722"/>
      <c r="L192" s="1722"/>
      <c r="M192" s="1722"/>
      <c r="N192" s="1722"/>
      <c r="O192" s="1722"/>
      <c r="P192" s="1722"/>
      <c r="Q192" s="1722"/>
      <c r="R192" s="1722"/>
      <c r="S192" s="1722"/>
      <c r="T192" s="1722"/>
      <c r="U192" s="1722"/>
      <c r="V192" s="1722"/>
      <c r="W192" s="1722"/>
      <c r="X192" s="1722"/>
      <c r="Y192" s="1722"/>
      <c r="Z192" s="1722"/>
      <c r="AA192" s="1722"/>
      <c r="AB192" s="1722"/>
      <c r="AE192" s="19"/>
      <c r="AF192" s="1450"/>
      <c r="AG192" s="1450"/>
      <c r="AH192" s="1450"/>
      <c r="AI192" s="1450"/>
      <c r="AJ192" s="1450"/>
      <c r="AK192" s="1450"/>
      <c r="AL192" s="1450"/>
      <c r="AN192" s="279"/>
      <c r="AO192" s="26" t="s">
        <v>197</v>
      </c>
      <c r="AP192" s="26">
        <f>3*$AO$197</f>
        <v>0</v>
      </c>
    </row>
    <row r="193" spans="1:53" s="4" customFormat="1" ht="12.75" customHeight="1">
      <c r="B193" s="5"/>
      <c r="C193" s="119"/>
      <c r="E193" s="1722"/>
      <c r="F193" s="1722"/>
      <c r="G193" s="1722"/>
      <c r="H193" s="1722"/>
      <c r="I193" s="1722"/>
      <c r="J193" s="1722"/>
      <c r="K193" s="1722"/>
      <c r="L193" s="1722"/>
      <c r="M193" s="1722"/>
      <c r="N193" s="1722"/>
      <c r="O193" s="1722"/>
      <c r="P193" s="1722"/>
      <c r="Q193" s="1722"/>
      <c r="R193" s="1722"/>
      <c r="S193" s="1722"/>
      <c r="T193" s="1722"/>
      <c r="U193" s="1722"/>
      <c r="V193" s="1722"/>
      <c r="W193" s="1722"/>
      <c r="X193" s="1722"/>
      <c r="Y193" s="1722"/>
      <c r="Z193" s="1722"/>
      <c r="AA193" s="1722"/>
      <c r="AB193" s="1722"/>
      <c r="AE193" s="19"/>
      <c r="AF193" s="100"/>
      <c r="AG193" s="19"/>
      <c r="AH193" s="19"/>
      <c r="AI193" s="19"/>
      <c r="AJ193" s="19"/>
      <c r="AK193" s="19"/>
      <c r="AL193" s="19"/>
      <c r="AN193" s="279"/>
      <c r="AO193" s="4" t="s">
        <v>890</v>
      </c>
      <c r="AP193" s="26">
        <f>2*$AO$197</f>
        <v>0</v>
      </c>
    </row>
    <row r="194" spans="1:53" s="4" customFormat="1" ht="6.75" customHeight="1">
      <c r="B194" s="5"/>
      <c r="C194" s="119"/>
      <c r="E194" s="1722"/>
      <c r="F194" s="1722"/>
      <c r="G194" s="1722"/>
      <c r="H194" s="1722"/>
      <c r="I194" s="1722"/>
      <c r="J194" s="1722"/>
      <c r="K194" s="1722"/>
      <c r="L194" s="1722"/>
      <c r="M194" s="1722"/>
      <c r="N194" s="1722"/>
      <c r="O194" s="1722"/>
      <c r="P194" s="1722"/>
      <c r="Q194" s="1722"/>
      <c r="R194" s="1722"/>
      <c r="S194" s="1722"/>
      <c r="T194" s="1722"/>
      <c r="U194" s="1722"/>
      <c r="V194" s="1722"/>
      <c r="W194" s="1722"/>
      <c r="X194" s="1722"/>
      <c r="Y194" s="1722"/>
      <c r="Z194" s="1722"/>
      <c r="AA194" s="1722"/>
      <c r="AB194" s="172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22" t="s">
        <v>2219</v>
      </c>
      <c r="F196" s="1722"/>
      <c r="G196" s="1722"/>
      <c r="H196" s="1722"/>
      <c r="I196" s="1722"/>
      <c r="J196" s="1722"/>
      <c r="K196" s="1722"/>
      <c r="L196" s="1722"/>
      <c r="M196" s="1722"/>
      <c r="N196" s="1722"/>
      <c r="O196" s="1722"/>
      <c r="P196" s="1722"/>
      <c r="Q196" s="1722"/>
      <c r="R196" s="1722"/>
      <c r="S196" s="1722"/>
      <c r="T196" s="1722"/>
      <c r="U196" s="1722"/>
      <c r="V196" s="1722"/>
      <c r="W196" s="1722"/>
      <c r="X196" s="1722"/>
      <c r="Y196" s="1722"/>
      <c r="Z196" s="1722"/>
      <c r="AA196" s="1722"/>
      <c r="AB196" s="1722"/>
      <c r="AF196" s="1450" t="s">
        <v>103</v>
      </c>
      <c r="AG196" s="1450"/>
      <c r="AH196" s="1450"/>
      <c r="AI196" s="1450"/>
      <c r="AJ196" s="1450"/>
      <c r="AK196" s="1450"/>
      <c r="AL196" s="1450"/>
      <c r="AN196" s="279"/>
      <c r="AY196" s="4" t="s">
        <v>2220</v>
      </c>
      <c r="AZ196" s="955">
        <f>Application!S215</f>
        <v>35</v>
      </c>
    </row>
    <row r="197" spans="1:53" s="4" customFormat="1" ht="12.75" customHeight="1">
      <c r="B197" s="5"/>
      <c r="C197" s="45"/>
      <c r="E197" s="1722"/>
      <c r="F197" s="1722"/>
      <c r="G197" s="1722"/>
      <c r="H197" s="1722"/>
      <c r="I197" s="1722"/>
      <c r="J197" s="1722"/>
      <c r="K197" s="1722"/>
      <c r="L197" s="1722"/>
      <c r="M197" s="1722"/>
      <c r="N197" s="1722"/>
      <c r="O197" s="1722"/>
      <c r="P197" s="1722"/>
      <c r="Q197" s="1722"/>
      <c r="R197" s="1722"/>
      <c r="S197" s="1722"/>
      <c r="T197" s="1722"/>
      <c r="U197" s="1722"/>
      <c r="V197" s="1722"/>
      <c r="W197" s="1722"/>
      <c r="X197" s="1722"/>
      <c r="Y197" s="1722"/>
      <c r="Z197" s="1722"/>
      <c r="AA197" s="1722"/>
      <c r="AB197" s="1722"/>
      <c r="AD197" s="5"/>
      <c r="AE197" s="19"/>
      <c r="AF197" s="1450"/>
      <c r="AG197" s="1450"/>
      <c r="AH197" s="1450"/>
      <c r="AI197" s="1450"/>
      <c r="AJ197" s="1450"/>
      <c r="AK197" s="1450"/>
      <c r="AL197" s="1450"/>
      <c r="AN197" s="279"/>
      <c r="AO197" s="125" t="b">
        <f>IF(OR(Application!D214="Special Needs",Application!D211="At-Risk and Special Needs"),IF(BA203&gt;=0.25,TRUE,FALSE),IF(AZ203&gt;=0.25,TRUE,FALSE))</f>
        <v>0</v>
      </c>
      <c r="AY197" s="4" t="s">
        <v>2221</v>
      </c>
      <c r="AZ197" s="955">
        <f>Application!G738</f>
        <v>45</v>
      </c>
    </row>
    <row r="198" spans="1:53" s="4" customFormat="1" ht="12.75" customHeight="1">
      <c r="B198" s="5"/>
      <c r="C198" s="45"/>
      <c r="E198" s="1722"/>
      <c r="F198" s="1722"/>
      <c r="G198" s="1722"/>
      <c r="H198" s="1722"/>
      <c r="I198" s="1722"/>
      <c r="J198" s="1722"/>
      <c r="K198" s="1722"/>
      <c r="L198" s="1722"/>
      <c r="M198" s="1722"/>
      <c r="N198" s="1722"/>
      <c r="O198" s="1722"/>
      <c r="P198" s="1722"/>
      <c r="Q198" s="1722"/>
      <c r="R198" s="1722"/>
      <c r="S198" s="1722"/>
      <c r="T198" s="1722"/>
      <c r="U198" s="1722"/>
      <c r="V198" s="1722"/>
      <c r="W198" s="1722"/>
      <c r="X198" s="1722"/>
      <c r="Y198" s="1722"/>
      <c r="Z198" s="1722"/>
      <c r="AA198" s="1722"/>
      <c r="AB198" s="1722"/>
      <c r="AD198" s="5"/>
      <c r="AE198" s="19"/>
      <c r="AN198" s="279"/>
      <c r="AY198" s="4" t="s">
        <v>2223</v>
      </c>
      <c r="AZ198" s="4">
        <f>Application!CC634</f>
        <v>0</v>
      </c>
    </row>
    <row r="199" spans="1:53" customFormat="1" ht="12.75" customHeight="1">
      <c r="A199" s="4"/>
      <c r="B199" s="5"/>
      <c r="C199" s="45"/>
      <c r="D199" s="4"/>
      <c r="E199" s="1722"/>
      <c r="F199" s="1722"/>
      <c r="G199" s="1722"/>
      <c r="H199" s="1722"/>
      <c r="I199" s="1722"/>
      <c r="J199" s="1722"/>
      <c r="K199" s="1722"/>
      <c r="L199" s="1722"/>
      <c r="M199" s="1722"/>
      <c r="N199" s="1722"/>
      <c r="O199" s="1722"/>
      <c r="P199" s="1722"/>
      <c r="Q199" s="1722"/>
      <c r="R199" s="1722"/>
      <c r="S199" s="1722"/>
      <c r="T199" s="1722"/>
      <c r="U199" s="1722"/>
      <c r="V199" s="1722"/>
      <c r="W199" s="1722"/>
      <c r="X199" s="1722"/>
      <c r="Y199" s="1722"/>
      <c r="Z199" s="1722"/>
      <c r="AA199" s="1722"/>
      <c r="AB199" s="1722"/>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51" t="s">
        <v>2275</v>
      </c>
      <c r="F201" s="1751"/>
      <c r="G201" s="1751"/>
      <c r="H201" s="1751"/>
      <c r="I201" s="1751"/>
      <c r="J201" s="1751"/>
      <c r="K201" s="1751"/>
      <c r="L201" s="1751"/>
      <c r="M201" s="1751"/>
      <c r="N201" s="1751"/>
      <c r="O201" s="1751"/>
      <c r="P201" s="1751"/>
      <c r="Q201" s="1751"/>
      <c r="R201" s="1751"/>
      <c r="S201" s="1751"/>
      <c r="T201" s="1751"/>
      <c r="U201" s="1751"/>
      <c r="V201" s="1751"/>
      <c r="W201" s="1751"/>
      <c r="X201" s="1751"/>
      <c r="Y201" s="1751"/>
      <c r="Z201" s="1751"/>
      <c r="AA201" s="1751"/>
      <c r="AB201" s="1751"/>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51"/>
      <c r="F202" s="1751"/>
      <c r="G202" s="1751"/>
      <c r="H202" s="1751"/>
      <c r="I202" s="1751"/>
      <c r="J202" s="1751"/>
      <c r="K202" s="1751"/>
      <c r="L202" s="1751"/>
      <c r="M202" s="1751"/>
      <c r="N202" s="1751"/>
      <c r="O202" s="1751"/>
      <c r="P202" s="1751"/>
      <c r="Q202" s="1751"/>
      <c r="R202" s="1751"/>
      <c r="S202" s="1751"/>
      <c r="T202" s="1751"/>
      <c r="U202" s="1751"/>
      <c r="V202" s="1751"/>
      <c r="W202" s="1751"/>
      <c r="X202" s="1751"/>
      <c r="Y202" s="1751"/>
      <c r="Z202" s="1751"/>
      <c r="AA202" s="1751"/>
      <c r="AB202" s="1751"/>
      <c r="AC202" s="4"/>
      <c r="AD202" s="5"/>
      <c r="AE202" s="19"/>
      <c r="AF202" s="19"/>
      <c r="AG202" s="19"/>
      <c r="AH202" s="19"/>
      <c r="AI202" s="19"/>
      <c r="AJ202" s="4"/>
      <c r="AK202" s="4"/>
      <c r="AL202" s="4"/>
      <c r="AM202" s="4"/>
      <c r="AN202" s="202"/>
      <c r="AY202" s="4" t="s">
        <v>2226</v>
      </c>
      <c r="AZ202">
        <f>AZ198+AZ199+AZ201</f>
        <v>0</v>
      </c>
    </row>
    <row r="203" spans="1:53" customFormat="1" ht="18" customHeight="1">
      <c r="A203" s="4"/>
      <c r="B203" s="5"/>
      <c r="C203" s="45"/>
      <c r="D203" s="4"/>
      <c r="E203" s="1751"/>
      <c r="F203" s="1751"/>
      <c r="G203" s="1751"/>
      <c r="H203" s="1751"/>
      <c r="I203" s="1751"/>
      <c r="J203" s="1751"/>
      <c r="K203" s="1751"/>
      <c r="L203" s="1751"/>
      <c r="M203" s="1751"/>
      <c r="N203" s="1751"/>
      <c r="O203" s="1751"/>
      <c r="P203" s="1751"/>
      <c r="Q203" s="1751"/>
      <c r="R203" s="1751"/>
      <c r="S203" s="1751"/>
      <c r="T203" s="1751"/>
      <c r="U203" s="1751"/>
      <c r="V203" s="1751"/>
      <c r="W203" s="1751"/>
      <c r="X203" s="1751"/>
      <c r="Y203" s="1751"/>
      <c r="Z203" s="1751"/>
      <c r="AA203" s="1751"/>
      <c r="AB203" s="1751"/>
      <c r="AC203" s="4"/>
      <c r="AD203" s="5"/>
      <c r="AE203" s="19"/>
      <c r="AF203" s="19"/>
      <c r="AG203" s="19"/>
      <c r="AH203" s="19"/>
      <c r="AI203" s="19"/>
      <c r="AJ203" s="4"/>
      <c r="AK203" s="4"/>
      <c r="AL203" s="4"/>
      <c r="AM203" s="4"/>
      <c r="AN203" s="202"/>
      <c r="AY203" s="4" t="s">
        <v>2227</v>
      </c>
      <c r="AZ203">
        <f>IFERROR(AZ202/AZ197,0)</f>
        <v>0</v>
      </c>
      <c r="BA203">
        <f>IFERROR(AZ202/(AZ197-AZ196),0)</f>
        <v>0</v>
      </c>
    </row>
    <row r="204" spans="1:53" customFormat="1" ht="12.75" customHeight="1">
      <c r="A204" s="4"/>
      <c r="B204" s="5"/>
      <c r="C204" s="45"/>
      <c r="D204" s="4" t="s">
        <v>147</v>
      </c>
      <c r="E204" s="114"/>
      <c r="F204" s="114"/>
      <c r="G204" s="114"/>
      <c r="H204" s="1752" t="s">
        <v>581</v>
      </c>
      <c r="I204" s="1752"/>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285">
        <f>VLOOKUP($H$204,$AO$190:$AP$193,2,FALSE)</f>
        <v>3</v>
      </c>
      <c r="AK206" s="128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906" t="s">
        <v>1254</v>
      </c>
      <c r="F210" s="1906"/>
      <c r="G210" s="1906"/>
      <c r="H210" s="1906"/>
      <c r="I210" s="1906"/>
      <c r="J210" s="1906"/>
      <c r="K210" s="1906"/>
      <c r="L210" s="1906"/>
      <c r="M210" s="1906"/>
      <c r="N210" s="1906"/>
      <c r="O210" s="1906"/>
      <c r="P210" s="1906"/>
      <c r="Q210" s="1906"/>
      <c r="R210" s="1906"/>
      <c r="S210" s="1906"/>
      <c r="T210" s="1906"/>
      <c r="U210" s="1906"/>
      <c r="V210" s="1906"/>
      <c r="W210" s="1906"/>
      <c r="X210" s="1906"/>
      <c r="Y210" s="1906"/>
      <c r="Z210" s="1906"/>
      <c r="AA210" s="1906"/>
      <c r="AB210" s="1906"/>
      <c r="AC210" s="4"/>
      <c r="AD210" s="4"/>
      <c r="AF210" s="1708" t="s">
        <v>61</v>
      </c>
      <c r="AG210" s="1708"/>
      <c r="AH210" s="1708"/>
      <c r="AI210" s="1708"/>
      <c r="AJ210" s="1708"/>
      <c r="AK210" s="1708"/>
      <c r="AL210" s="1708"/>
      <c r="AM210" s="4"/>
      <c r="AN210" s="202"/>
      <c r="AO210" s="4" t="s">
        <v>124</v>
      </c>
      <c r="AP210" s="469">
        <v>0</v>
      </c>
    </row>
    <row r="211" spans="1:52" customFormat="1" ht="11.85" customHeight="1">
      <c r="A211" s="4"/>
      <c r="B211" s="5"/>
      <c r="C211" s="113"/>
      <c r="D211" s="26"/>
      <c r="E211" s="1906"/>
      <c r="F211" s="1906"/>
      <c r="G211" s="1906"/>
      <c r="H211" s="1906"/>
      <c r="I211" s="1906"/>
      <c r="J211" s="1906"/>
      <c r="K211" s="1906"/>
      <c r="L211" s="1906"/>
      <c r="M211" s="1906"/>
      <c r="N211" s="1906"/>
      <c r="O211" s="1906"/>
      <c r="P211" s="1906"/>
      <c r="Q211" s="1906"/>
      <c r="R211" s="1906"/>
      <c r="S211" s="1906"/>
      <c r="T211" s="1906"/>
      <c r="U211" s="1906"/>
      <c r="V211" s="1906"/>
      <c r="W211" s="1906"/>
      <c r="X211" s="1906"/>
      <c r="Y211" s="1906"/>
      <c r="Z211" s="1906"/>
      <c r="AA211" s="1906"/>
      <c r="AB211" s="1906"/>
      <c r="AC211" s="4"/>
      <c r="AD211" s="4"/>
      <c r="AE211" s="4"/>
      <c r="AM211" s="4"/>
      <c r="AN211" s="202"/>
      <c r="AO211" s="26" t="s">
        <v>581</v>
      </c>
      <c r="AP211" s="4">
        <v>3</v>
      </c>
    </row>
    <row r="212" spans="1:52" customFormat="1" ht="13.9" customHeight="1">
      <c r="A212" s="4"/>
      <c r="B212" s="42"/>
      <c r="C212" s="45"/>
      <c r="D212" s="26"/>
      <c r="E212" s="1906"/>
      <c r="F212" s="1906"/>
      <c r="G212" s="1906"/>
      <c r="H212" s="1906"/>
      <c r="I212" s="1906"/>
      <c r="J212" s="1906"/>
      <c r="K212" s="1906"/>
      <c r="L212" s="1906"/>
      <c r="M212" s="1906"/>
      <c r="N212" s="1906"/>
      <c r="O212" s="1906"/>
      <c r="P212" s="1906"/>
      <c r="Q212" s="1906"/>
      <c r="R212" s="1906"/>
      <c r="S212" s="1906"/>
      <c r="T212" s="1906"/>
      <c r="U212" s="1906"/>
      <c r="V212" s="1906"/>
      <c r="W212" s="1906"/>
      <c r="X212" s="1906"/>
      <c r="Y212" s="1906"/>
      <c r="Z212" s="1906"/>
      <c r="AA212" s="1906"/>
      <c r="AB212" s="1906"/>
      <c r="AC212" s="4"/>
      <c r="AD212" s="4"/>
      <c r="AE212" s="19"/>
      <c r="AM212" s="4"/>
      <c r="AN212" s="202"/>
      <c r="AO212" s="26" t="s">
        <v>197</v>
      </c>
      <c r="AP212" s="4">
        <v>2</v>
      </c>
    </row>
    <row r="213" spans="1:52" customFormat="1" ht="13.9" customHeight="1">
      <c r="A213" s="4"/>
      <c r="B213" s="5"/>
      <c r="C213" s="45"/>
      <c r="D213" s="26" t="s">
        <v>197</v>
      </c>
      <c r="E213" s="1904" t="s">
        <v>1255</v>
      </c>
      <c r="F213" s="1904"/>
      <c r="G213" s="1904"/>
      <c r="H213" s="1904"/>
      <c r="I213" s="1904"/>
      <c r="J213" s="1904"/>
      <c r="K213" s="1904"/>
      <c r="L213" s="1904"/>
      <c r="M213" s="1904"/>
      <c r="N213" s="1904"/>
      <c r="O213" s="1904"/>
      <c r="P213" s="1904"/>
      <c r="Q213" s="1904"/>
      <c r="R213" s="1904"/>
      <c r="S213" s="1904"/>
      <c r="T213" s="1904"/>
      <c r="U213" s="1904"/>
      <c r="V213" s="1904"/>
      <c r="W213" s="1904"/>
      <c r="X213" s="1904"/>
      <c r="Y213" s="1904"/>
      <c r="Z213" s="1904"/>
      <c r="AA213" s="1904"/>
      <c r="AB213" s="1904"/>
      <c r="AC213" s="4"/>
      <c r="AD213" s="4"/>
      <c r="AF213" s="1708" t="s">
        <v>103</v>
      </c>
      <c r="AG213" s="1708"/>
      <c r="AH213" s="1708"/>
      <c r="AI213" s="1708"/>
      <c r="AJ213" s="1708"/>
      <c r="AK213" s="1708"/>
      <c r="AL213" s="1708"/>
      <c r="AM213" s="4"/>
      <c r="AN213" s="670"/>
      <c r="AP213" s="21"/>
    </row>
    <row r="214" spans="1:52" customFormat="1" ht="12.75" customHeight="1">
      <c r="A214" s="4"/>
      <c r="B214" s="5"/>
      <c r="C214" s="113"/>
      <c r="D214" s="4"/>
      <c r="E214" s="1904"/>
      <c r="F214" s="1904"/>
      <c r="G214" s="1904"/>
      <c r="H214" s="1904"/>
      <c r="I214" s="1904"/>
      <c r="J214" s="1904"/>
      <c r="K214" s="1904"/>
      <c r="L214" s="1904"/>
      <c r="M214" s="1904"/>
      <c r="N214" s="1904"/>
      <c r="O214" s="1904"/>
      <c r="P214" s="1904"/>
      <c r="Q214" s="1904"/>
      <c r="R214" s="1904"/>
      <c r="S214" s="1904"/>
      <c r="T214" s="1904"/>
      <c r="U214" s="1904"/>
      <c r="V214" s="1904"/>
      <c r="W214" s="1904"/>
      <c r="X214" s="1904"/>
      <c r="Y214" s="1904"/>
      <c r="Z214" s="1904"/>
      <c r="AA214" s="1904"/>
      <c r="AB214" s="1904"/>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904"/>
      <c r="F215" s="1904"/>
      <c r="G215" s="1904"/>
      <c r="H215" s="1904"/>
      <c r="I215" s="1904"/>
      <c r="J215" s="1904"/>
      <c r="K215" s="1904"/>
      <c r="L215" s="1904"/>
      <c r="M215" s="1904"/>
      <c r="N215" s="1904"/>
      <c r="O215" s="1904"/>
      <c r="P215" s="1904"/>
      <c r="Q215" s="1904"/>
      <c r="R215" s="1904"/>
      <c r="S215" s="1904"/>
      <c r="T215" s="1904"/>
      <c r="U215" s="1904"/>
      <c r="V215" s="1904"/>
      <c r="W215" s="1904"/>
      <c r="X215" s="1904"/>
      <c r="Y215" s="1904"/>
      <c r="Z215" s="1904"/>
      <c r="AA215" s="1904"/>
      <c r="AB215" s="1904"/>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52" t="s">
        <v>124</v>
      </c>
      <c r="I216" s="1752"/>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85">
        <f>VLOOKUP($H$216,$AO$210:$AP$212,2,FALSE)</f>
        <v>0</v>
      </c>
      <c r="AK218" s="1287"/>
      <c r="AL218" s="10"/>
      <c r="AM218" s="4"/>
      <c r="AN218" s="202"/>
      <c r="AP218" s="1285"/>
      <c r="AQ218" s="128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22" t="s">
        <v>1488</v>
      </c>
      <c r="F222" s="1722"/>
      <c r="G222" s="1722"/>
      <c r="H222" s="1722"/>
      <c r="I222" s="1722"/>
      <c r="J222" s="1722"/>
      <c r="K222" s="1722"/>
      <c r="L222" s="1722"/>
      <c r="M222" s="1722"/>
      <c r="N222" s="1722"/>
      <c r="O222" s="1722"/>
      <c r="P222" s="1722"/>
      <c r="Q222" s="1722"/>
      <c r="R222" s="1722"/>
      <c r="S222" s="1722"/>
      <c r="T222" s="1722"/>
      <c r="U222" s="1722"/>
      <c r="V222" s="1722"/>
      <c r="W222" s="1722"/>
      <c r="X222" s="1722"/>
      <c r="Y222" s="1722"/>
      <c r="Z222" s="1722"/>
      <c r="AA222" s="1722"/>
      <c r="AB222" s="1722"/>
      <c r="AC222" s="4"/>
      <c r="AD222" s="4"/>
      <c r="AF222" s="1708" t="s">
        <v>61</v>
      </c>
      <c r="AG222" s="1708"/>
      <c r="AH222" s="1708"/>
      <c r="AI222" s="1708"/>
      <c r="AJ222" s="1708"/>
      <c r="AK222" s="1708"/>
      <c r="AL222" s="1708"/>
      <c r="AM222" s="4"/>
      <c r="AN222" s="202"/>
      <c r="AO222" s="38"/>
      <c r="AP222" s="21"/>
      <c r="AT222" s="21"/>
      <c r="AU222" s="21"/>
      <c r="AV222" s="21"/>
      <c r="AW222" s="21"/>
      <c r="AX222" s="21"/>
      <c r="AY222" s="21"/>
      <c r="AZ222" s="21"/>
    </row>
    <row r="223" spans="1:52" customFormat="1">
      <c r="A223" s="4"/>
      <c r="B223" s="5"/>
      <c r="C223" s="113"/>
      <c r="D223" s="26"/>
      <c r="E223" s="1722"/>
      <c r="F223" s="1722"/>
      <c r="G223" s="1722"/>
      <c r="H223" s="1722"/>
      <c r="I223" s="1722"/>
      <c r="J223" s="1722"/>
      <c r="K223" s="1722"/>
      <c r="L223" s="1722"/>
      <c r="M223" s="1722"/>
      <c r="N223" s="1722"/>
      <c r="O223" s="1722"/>
      <c r="P223" s="1722"/>
      <c r="Q223" s="1722"/>
      <c r="R223" s="1722"/>
      <c r="S223" s="1722"/>
      <c r="T223" s="1722"/>
      <c r="U223" s="1722"/>
      <c r="V223" s="1722"/>
      <c r="W223" s="1722"/>
      <c r="X223" s="1722"/>
      <c r="Y223" s="1722"/>
      <c r="Z223" s="1722"/>
      <c r="AA223" s="1722"/>
      <c r="AB223" s="172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22" t="s">
        <v>882</v>
      </c>
      <c r="F225" s="1722"/>
      <c r="G225" s="1722"/>
      <c r="H225" s="1722"/>
      <c r="I225" s="1722"/>
      <c r="J225" s="1722"/>
      <c r="K225" s="1722"/>
      <c r="L225" s="1722"/>
      <c r="M225" s="1722"/>
      <c r="N225" s="1722"/>
      <c r="O225" s="1722"/>
      <c r="P225" s="1722"/>
      <c r="Q225" s="1722"/>
      <c r="R225" s="1722"/>
      <c r="S225" s="1722"/>
      <c r="T225" s="1722"/>
      <c r="U225" s="1722"/>
      <c r="V225" s="1722"/>
      <c r="W225" s="1722"/>
      <c r="X225" s="1722"/>
      <c r="Y225" s="1722"/>
      <c r="Z225" s="1722"/>
      <c r="AA225" s="1722"/>
      <c r="AB225" s="1722"/>
      <c r="AC225" s="4"/>
      <c r="AD225" s="4"/>
      <c r="AF225" s="1708" t="s">
        <v>103</v>
      </c>
      <c r="AG225" s="1708"/>
      <c r="AH225" s="1708"/>
      <c r="AI225" s="1708"/>
      <c r="AJ225" s="1708"/>
      <c r="AK225" s="1708"/>
      <c r="AL225" s="1708"/>
      <c r="AM225" s="4"/>
      <c r="AN225" s="202"/>
      <c r="AO225" s="4" t="s">
        <v>124</v>
      </c>
      <c r="AP225" s="469">
        <v>0</v>
      </c>
      <c r="AT225" s="21"/>
      <c r="AU225" s="21"/>
      <c r="AV225" s="21"/>
      <c r="AW225" s="21"/>
      <c r="AX225" s="21"/>
      <c r="AY225" s="21"/>
      <c r="AZ225" s="21"/>
    </row>
    <row r="226" spans="1:82" customFormat="1">
      <c r="A226" s="4"/>
      <c r="B226" s="5"/>
      <c r="C226" s="113"/>
      <c r="D226" s="4"/>
      <c r="E226" s="1722"/>
      <c r="F226" s="1722"/>
      <c r="G226" s="1722"/>
      <c r="H226" s="1722"/>
      <c r="I226" s="1722"/>
      <c r="J226" s="1722"/>
      <c r="K226" s="1722"/>
      <c r="L226" s="1722"/>
      <c r="M226" s="1722"/>
      <c r="N226" s="1722"/>
      <c r="O226" s="1722"/>
      <c r="P226" s="1722"/>
      <c r="Q226" s="1722"/>
      <c r="R226" s="1722"/>
      <c r="S226" s="1722"/>
      <c r="T226" s="1722"/>
      <c r="U226" s="1722"/>
      <c r="V226" s="1722"/>
      <c r="W226" s="1722"/>
      <c r="X226" s="1722"/>
      <c r="Y226" s="1722"/>
      <c r="Z226" s="1722"/>
      <c r="AA226" s="1722"/>
      <c r="AB226" s="1722"/>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52" t="s">
        <v>124</v>
      </c>
      <c r="I228" s="1752"/>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85">
        <f>VLOOKUP($H$228,$AO$225:$AP$227,2,FALSE)</f>
        <v>0</v>
      </c>
      <c r="AK230" s="128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22" t="s">
        <v>1123</v>
      </c>
      <c r="F234" s="1722"/>
      <c r="G234" s="1722"/>
      <c r="H234" s="1722"/>
      <c r="I234" s="1722"/>
      <c r="J234" s="1722"/>
      <c r="K234" s="1722"/>
      <c r="L234" s="1722"/>
      <c r="M234" s="1722"/>
      <c r="N234" s="1722"/>
      <c r="O234" s="1722"/>
      <c r="P234" s="1722"/>
      <c r="Q234" s="1722"/>
      <c r="R234" s="1722"/>
      <c r="S234" s="1722"/>
      <c r="T234" s="1722"/>
      <c r="U234" s="1722"/>
      <c r="V234" s="1722"/>
      <c r="W234" s="1722"/>
      <c r="X234" s="1722"/>
      <c r="Y234" s="1722"/>
      <c r="Z234" s="1722"/>
      <c r="AA234" s="1722"/>
      <c r="AB234" s="1722"/>
      <c r="AC234" s="4"/>
      <c r="AD234" s="4"/>
      <c r="AF234" s="1708" t="s">
        <v>61</v>
      </c>
      <c r="AG234" s="1708"/>
      <c r="AH234" s="1708"/>
      <c r="AI234" s="1708"/>
      <c r="AJ234" s="1708"/>
      <c r="AK234" s="1708"/>
      <c r="AL234" s="1708"/>
      <c r="AM234" s="4"/>
      <c r="AN234" s="202"/>
      <c r="AT234" s="21"/>
      <c r="AU234" s="21"/>
      <c r="AV234" s="21"/>
      <c r="AW234" s="21"/>
      <c r="AX234" s="21"/>
      <c r="AY234" s="21"/>
      <c r="AZ234" s="21"/>
    </row>
    <row r="235" spans="1:82" customFormat="1">
      <c r="A235" s="4"/>
      <c r="B235" s="5"/>
      <c r="C235" s="113"/>
      <c r="D235" s="26"/>
      <c r="E235" s="1722"/>
      <c r="F235" s="1722"/>
      <c r="G235" s="1722"/>
      <c r="H235" s="1722"/>
      <c r="I235" s="1722"/>
      <c r="J235" s="1722"/>
      <c r="K235" s="1722"/>
      <c r="L235" s="1722"/>
      <c r="M235" s="1722"/>
      <c r="N235" s="1722"/>
      <c r="O235" s="1722"/>
      <c r="P235" s="1722"/>
      <c r="Q235" s="1722"/>
      <c r="R235" s="1722"/>
      <c r="S235" s="1722"/>
      <c r="T235" s="1722"/>
      <c r="U235" s="1722"/>
      <c r="V235" s="1722"/>
      <c r="W235" s="1722"/>
      <c r="X235" s="1722"/>
      <c r="Y235" s="1722"/>
      <c r="Z235" s="1722"/>
      <c r="AA235" s="1722"/>
      <c r="AB235" s="1722"/>
      <c r="AC235" s="4"/>
      <c r="AD235" s="4"/>
      <c r="AL235" s="4"/>
      <c r="AM235" s="4"/>
      <c r="AN235" s="202"/>
    </row>
    <row r="236" spans="1:82" customFormat="1" ht="12.75" customHeight="1">
      <c r="A236" s="4"/>
      <c r="B236" s="5"/>
      <c r="C236" s="113"/>
      <c r="D236" s="26"/>
      <c r="E236" s="1722"/>
      <c r="F236" s="1722"/>
      <c r="G236" s="1722"/>
      <c r="H236" s="1722"/>
      <c r="I236" s="1722"/>
      <c r="J236" s="1722"/>
      <c r="K236" s="1722"/>
      <c r="L236" s="1722"/>
      <c r="M236" s="1722"/>
      <c r="N236" s="1722"/>
      <c r="O236" s="1722"/>
      <c r="P236" s="1722"/>
      <c r="Q236" s="1722"/>
      <c r="R236" s="1722"/>
      <c r="S236" s="1722"/>
      <c r="T236" s="1722"/>
      <c r="U236" s="1722"/>
      <c r="V236" s="1722"/>
      <c r="W236" s="1722"/>
      <c r="X236" s="1722"/>
      <c r="Y236" s="1722"/>
      <c r="Z236" s="1722"/>
      <c r="AA236" s="1722"/>
      <c r="AB236" s="172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22" t="s">
        <v>1124</v>
      </c>
      <c r="F238" s="1722"/>
      <c r="G238" s="1722"/>
      <c r="H238" s="1722"/>
      <c r="I238" s="1722"/>
      <c r="J238" s="1722"/>
      <c r="K238" s="1722"/>
      <c r="L238" s="1722"/>
      <c r="M238" s="1722"/>
      <c r="N238" s="1722"/>
      <c r="O238" s="1722"/>
      <c r="P238" s="1722"/>
      <c r="Q238" s="1722"/>
      <c r="R238" s="1722"/>
      <c r="S238" s="1722"/>
      <c r="T238" s="1722"/>
      <c r="U238" s="1722"/>
      <c r="V238" s="1722"/>
      <c r="W238" s="1722"/>
      <c r="X238" s="1722"/>
      <c r="Y238" s="1722"/>
      <c r="Z238" s="1722"/>
      <c r="AA238" s="1722"/>
      <c r="AB238" s="341"/>
      <c r="AC238" s="4"/>
      <c r="AD238" s="4"/>
      <c r="AF238" s="1708" t="s">
        <v>103</v>
      </c>
      <c r="AG238" s="1708"/>
      <c r="AH238" s="1708"/>
      <c r="AI238" s="1708"/>
      <c r="AJ238" s="1708"/>
      <c r="AK238" s="1708"/>
      <c r="AL238" s="1708"/>
      <c r="AM238" s="4"/>
      <c r="AN238" s="202"/>
      <c r="AO238" s="38"/>
      <c r="AP238" s="21"/>
    </row>
    <row r="239" spans="1:82" customFormat="1">
      <c r="A239" s="4"/>
      <c r="B239" s="5"/>
      <c r="C239" s="45"/>
      <c r="D239" s="4"/>
      <c r="E239" s="1722"/>
      <c r="F239" s="1722"/>
      <c r="G239" s="1722"/>
      <c r="H239" s="1722"/>
      <c r="I239" s="1722"/>
      <c r="J239" s="1722"/>
      <c r="K239" s="1722"/>
      <c r="L239" s="1722"/>
      <c r="M239" s="1722"/>
      <c r="N239" s="1722"/>
      <c r="O239" s="1722"/>
      <c r="P239" s="1722"/>
      <c r="Q239" s="1722"/>
      <c r="R239" s="1722"/>
      <c r="S239" s="1722"/>
      <c r="T239" s="1722"/>
      <c r="U239" s="1722"/>
      <c r="V239" s="1722"/>
      <c r="W239" s="1722"/>
      <c r="X239" s="1722"/>
      <c r="Y239" s="1722"/>
      <c r="Z239" s="1722"/>
      <c r="AA239" s="172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22"/>
      <c r="F240" s="1722"/>
      <c r="G240" s="1722"/>
      <c r="H240" s="1722"/>
      <c r="I240" s="1722"/>
      <c r="J240" s="1722"/>
      <c r="K240" s="1722"/>
      <c r="L240" s="1722"/>
      <c r="M240" s="1722"/>
      <c r="N240" s="1722"/>
      <c r="O240" s="1722"/>
      <c r="P240" s="1722"/>
      <c r="Q240" s="1722"/>
      <c r="R240" s="1722"/>
      <c r="S240" s="1722"/>
      <c r="T240" s="1722"/>
      <c r="U240" s="1722"/>
      <c r="V240" s="1722"/>
      <c r="W240" s="1722"/>
      <c r="X240" s="1722"/>
      <c r="Y240" s="1722"/>
      <c r="Z240" s="1722"/>
      <c r="AA240" s="172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52" t="s">
        <v>124</v>
      </c>
      <c r="I242" s="1752"/>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85">
        <f>VLOOKUP($H$242,$AO$225:$AP$227,2,FALSE)</f>
        <v>0</v>
      </c>
      <c r="AK244" s="128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22" t="s">
        <v>317</v>
      </c>
      <c r="F248" s="1722"/>
      <c r="G248" s="1722"/>
      <c r="H248" s="1722"/>
      <c r="I248" s="1722"/>
      <c r="J248" s="1722"/>
      <c r="K248" s="1722"/>
      <c r="L248" s="1722"/>
      <c r="M248" s="1722"/>
      <c r="N248" s="1722"/>
      <c r="O248" s="1722"/>
      <c r="P248" s="1722"/>
      <c r="Q248" s="1722"/>
      <c r="R248" s="1722"/>
      <c r="S248" s="1722"/>
      <c r="T248" s="1722"/>
      <c r="U248" s="1722"/>
      <c r="V248" s="1722"/>
      <c r="W248" s="1722"/>
      <c r="X248" s="1722"/>
      <c r="Y248" s="1722"/>
      <c r="Z248" s="1722"/>
      <c r="AA248" s="1722"/>
      <c r="AB248" s="1722"/>
      <c r="AC248" s="4"/>
      <c r="AD248" s="4"/>
      <c r="AF248" s="1708" t="s">
        <v>103</v>
      </c>
      <c r="AG248" s="1708"/>
      <c r="AH248" s="1708"/>
      <c r="AI248" s="1708"/>
      <c r="AJ248" s="1708"/>
      <c r="AK248" s="1708"/>
      <c r="AL248" s="170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22"/>
      <c r="F249" s="1722"/>
      <c r="G249" s="1722"/>
      <c r="H249" s="1722"/>
      <c r="I249" s="1722"/>
      <c r="J249" s="1722"/>
      <c r="K249" s="1722"/>
      <c r="L249" s="1722"/>
      <c r="M249" s="1722"/>
      <c r="N249" s="1722"/>
      <c r="O249" s="1722"/>
      <c r="P249" s="1722"/>
      <c r="Q249" s="1722"/>
      <c r="R249" s="1722"/>
      <c r="S249" s="1722"/>
      <c r="T249" s="1722"/>
      <c r="U249" s="1722"/>
      <c r="V249" s="1722"/>
      <c r="W249" s="1722"/>
      <c r="X249" s="1722"/>
      <c r="Y249" s="1722"/>
      <c r="Z249" s="1722"/>
      <c r="AA249" s="1722"/>
      <c r="AB249" s="172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22" t="s">
        <v>1256</v>
      </c>
      <c r="F251" s="1722"/>
      <c r="G251" s="1722"/>
      <c r="H251" s="1722"/>
      <c r="I251" s="1722"/>
      <c r="J251" s="1722"/>
      <c r="K251" s="1722"/>
      <c r="L251" s="1722"/>
      <c r="M251" s="1722"/>
      <c r="N251" s="1722"/>
      <c r="O251" s="1722"/>
      <c r="P251" s="1722"/>
      <c r="Q251" s="1722"/>
      <c r="R251" s="1722"/>
      <c r="S251" s="1722"/>
      <c r="T251" s="1722"/>
      <c r="U251" s="1722"/>
      <c r="V251" s="1722"/>
      <c r="W251" s="1722"/>
      <c r="X251" s="1722"/>
      <c r="Y251" s="1722"/>
      <c r="Z251" s="1722"/>
      <c r="AA251" s="1722"/>
      <c r="AB251" s="1722"/>
      <c r="AC251" s="4"/>
      <c r="AD251" s="4"/>
      <c r="AF251" s="1708" t="s">
        <v>318</v>
      </c>
      <c r="AG251" s="1708"/>
      <c r="AH251" s="1708"/>
      <c r="AI251" s="1708"/>
      <c r="AJ251" s="1708"/>
      <c r="AK251" s="1708"/>
      <c r="AL251" s="170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22"/>
      <c r="F252" s="1722"/>
      <c r="G252" s="1722"/>
      <c r="H252" s="1722"/>
      <c r="I252" s="1722"/>
      <c r="J252" s="1722"/>
      <c r="K252" s="1722"/>
      <c r="L252" s="1722"/>
      <c r="M252" s="1722"/>
      <c r="N252" s="1722"/>
      <c r="O252" s="1722"/>
      <c r="P252" s="1722"/>
      <c r="Q252" s="1722"/>
      <c r="R252" s="1722"/>
      <c r="S252" s="1722"/>
      <c r="T252" s="1722"/>
      <c r="U252" s="1722"/>
      <c r="V252" s="1722"/>
      <c r="W252" s="1722"/>
      <c r="X252" s="1722"/>
      <c r="Y252" s="1722"/>
      <c r="Z252" s="1722"/>
      <c r="AA252" s="1722"/>
      <c r="AB252" s="172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52" t="s">
        <v>581</v>
      </c>
      <c r="I254" s="1752"/>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85">
        <f>VLOOKUP($H$254,$AO$246:$AP$248,2,FALSE)</f>
        <v>2</v>
      </c>
      <c r="AK256" s="128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722" t="s">
        <v>1938</v>
      </c>
      <c r="F260" s="1722"/>
      <c r="G260" s="1722"/>
      <c r="H260" s="1722"/>
      <c r="I260" s="1722"/>
      <c r="J260" s="1722"/>
      <c r="K260" s="1722"/>
      <c r="L260" s="1722"/>
      <c r="M260" s="1722"/>
      <c r="N260" s="1722"/>
      <c r="O260" s="1722"/>
      <c r="P260" s="1722"/>
      <c r="Q260" s="1722"/>
      <c r="R260" s="1722"/>
      <c r="S260" s="1722"/>
      <c r="T260" s="1722"/>
      <c r="U260" s="1722"/>
      <c r="V260" s="1722"/>
      <c r="W260" s="1722"/>
      <c r="X260" s="1722"/>
      <c r="Y260" s="1722"/>
      <c r="Z260" s="1722"/>
      <c r="AA260" s="1722"/>
      <c r="AB260" s="1722"/>
      <c r="AC260" s="1722"/>
      <c r="AD260" s="1722"/>
      <c r="AF260" s="1708" t="s">
        <v>103</v>
      </c>
      <c r="AG260" s="1708"/>
      <c r="AH260" s="1708"/>
      <c r="AI260" s="1708"/>
      <c r="AJ260" s="1708"/>
      <c r="AK260" s="1708"/>
      <c r="AL260" s="1708"/>
      <c r="AM260" s="102"/>
      <c r="AN260" s="202"/>
      <c r="AO260" s="4" t="s">
        <v>124</v>
      </c>
      <c r="AP260" s="469">
        <v>0</v>
      </c>
    </row>
    <row r="261" spans="1:82" customFormat="1">
      <c r="A261" s="4"/>
      <c r="B261" s="100"/>
      <c r="C261" s="135"/>
      <c r="D261" s="26"/>
      <c r="E261" s="1722"/>
      <c r="F261" s="1722"/>
      <c r="G261" s="1722"/>
      <c r="H261" s="1722"/>
      <c r="I261" s="1722"/>
      <c r="J261" s="1722"/>
      <c r="K261" s="1722"/>
      <c r="L261" s="1722"/>
      <c r="M261" s="1722"/>
      <c r="N261" s="1722"/>
      <c r="O261" s="1722"/>
      <c r="P261" s="1722"/>
      <c r="Q261" s="1722"/>
      <c r="R261" s="1722"/>
      <c r="S261" s="1722"/>
      <c r="T261" s="1722"/>
      <c r="U261" s="1722"/>
      <c r="V261" s="1722"/>
      <c r="W261" s="1722"/>
      <c r="X261" s="1722"/>
      <c r="Y261" s="1722"/>
      <c r="Z261" s="1722"/>
      <c r="AA261" s="1722"/>
      <c r="AB261" s="1722"/>
      <c r="AC261" s="1722"/>
      <c r="AD261" s="1722"/>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22"/>
      <c r="F262" s="1722"/>
      <c r="G262" s="1722"/>
      <c r="H262" s="1722"/>
      <c r="I262" s="1722"/>
      <c r="J262" s="1722"/>
      <c r="K262" s="1722"/>
      <c r="L262" s="1722"/>
      <c r="M262" s="1722"/>
      <c r="N262" s="1722"/>
      <c r="O262" s="1722"/>
      <c r="P262" s="1722"/>
      <c r="Q262" s="1722"/>
      <c r="R262" s="1722"/>
      <c r="S262" s="1722"/>
      <c r="T262" s="1722"/>
      <c r="U262" s="1722"/>
      <c r="V262" s="1722"/>
      <c r="W262" s="1722"/>
      <c r="X262" s="1722"/>
      <c r="Y262" s="1722"/>
      <c r="Z262" s="1722"/>
      <c r="AA262" s="1722"/>
      <c r="AB262" s="1722"/>
      <c r="AC262" s="1722"/>
      <c r="AD262" s="172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905" t="s">
        <v>1939</v>
      </c>
      <c r="F264" s="1905"/>
      <c r="G264" s="1905"/>
      <c r="H264" s="1905"/>
      <c r="I264" s="1905"/>
      <c r="J264" s="1905"/>
      <c r="K264" s="1905"/>
      <c r="L264" s="1905"/>
      <c r="M264" s="1905"/>
      <c r="N264" s="1905"/>
      <c r="O264" s="1905"/>
      <c r="P264" s="1905"/>
      <c r="Q264" s="1905"/>
      <c r="R264" s="1905"/>
      <c r="S264" s="1905"/>
      <c r="T264" s="1905"/>
      <c r="U264" s="1905"/>
      <c r="V264" s="1905"/>
      <c r="W264" s="1905"/>
      <c r="X264" s="1905"/>
      <c r="Y264" s="1905"/>
      <c r="Z264" s="1905"/>
      <c r="AA264" s="1905"/>
      <c r="AB264" s="1905"/>
      <c r="AC264" s="1905"/>
      <c r="AD264" s="1905"/>
      <c r="AF264" s="1708" t="s">
        <v>61</v>
      </c>
      <c r="AG264" s="1708"/>
      <c r="AH264" s="1708"/>
      <c r="AI264" s="1708"/>
      <c r="AJ264" s="1708"/>
      <c r="AK264" s="1708"/>
      <c r="AL264" s="1708"/>
      <c r="AM264" s="102"/>
      <c r="AN264" s="279"/>
    </row>
    <row r="265" spans="1:82" s="4" customFormat="1" ht="12.75" customHeight="1">
      <c r="B265" s="100"/>
      <c r="C265" s="135"/>
      <c r="D265" s="26"/>
      <c r="E265" s="1905"/>
      <c r="F265" s="1905"/>
      <c r="G265" s="1905"/>
      <c r="H265" s="1905"/>
      <c r="I265" s="1905"/>
      <c r="J265" s="1905"/>
      <c r="K265" s="1905"/>
      <c r="L265" s="1905"/>
      <c r="M265" s="1905"/>
      <c r="N265" s="1905"/>
      <c r="O265" s="1905"/>
      <c r="P265" s="1905"/>
      <c r="Q265" s="1905"/>
      <c r="R265" s="1905"/>
      <c r="S265" s="1905"/>
      <c r="T265" s="1905"/>
      <c r="U265" s="1905"/>
      <c r="V265" s="1905"/>
      <c r="W265" s="1905"/>
      <c r="X265" s="1905"/>
      <c r="Y265" s="1905"/>
      <c r="Z265" s="1905"/>
      <c r="AA265" s="1905"/>
      <c r="AB265" s="1905"/>
      <c r="AC265" s="1905"/>
      <c r="AD265" s="1905"/>
      <c r="AE265" s="106"/>
      <c r="AF265" s="106"/>
      <c r="AG265" s="106"/>
      <c r="AH265" s="106"/>
      <c r="AI265" s="106"/>
      <c r="AJ265" s="106"/>
      <c r="AK265" s="106"/>
      <c r="AL265" s="106"/>
      <c r="AM265" s="102"/>
      <c r="AN265" s="279"/>
    </row>
    <row r="266" spans="1:82" s="4" customFormat="1" ht="12.75" customHeight="1">
      <c r="B266" s="100"/>
      <c r="C266" s="135"/>
      <c r="D266" s="26"/>
      <c r="E266" s="1905"/>
      <c r="F266" s="1905"/>
      <c r="G266" s="1905"/>
      <c r="H266" s="1905"/>
      <c r="I266" s="1905"/>
      <c r="J266" s="1905"/>
      <c r="K266" s="1905"/>
      <c r="L266" s="1905"/>
      <c r="M266" s="1905"/>
      <c r="N266" s="1905"/>
      <c r="O266" s="1905"/>
      <c r="P266" s="1905"/>
      <c r="Q266" s="1905"/>
      <c r="R266" s="1905"/>
      <c r="S266" s="1905"/>
      <c r="T266" s="1905"/>
      <c r="U266" s="1905"/>
      <c r="V266" s="1905"/>
      <c r="W266" s="1905"/>
      <c r="X266" s="1905"/>
      <c r="Y266" s="1905"/>
      <c r="Z266" s="1905"/>
      <c r="AA266" s="1905"/>
      <c r="AB266" s="1905"/>
      <c r="AC266" s="1905"/>
      <c r="AD266" s="1905"/>
      <c r="AE266" s="106"/>
      <c r="AF266" s="106"/>
      <c r="AG266" s="106"/>
      <c r="AH266" s="106"/>
      <c r="AI266" s="106"/>
      <c r="AJ266" s="106"/>
      <c r="AK266" s="106"/>
      <c r="AL266" s="106"/>
      <c r="AM266" s="102"/>
      <c r="AN266" s="279"/>
    </row>
    <row r="267" spans="1:82" s="4" customFormat="1" ht="12.75" customHeight="1">
      <c r="B267" s="100"/>
      <c r="C267" s="135"/>
      <c r="D267" s="26"/>
      <c r="E267" s="1905"/>
      <c r="F267" s="1905"/>
      <c r="G267" s="1905"/>
      <c r="H267" s="1905"/>
      <c r="I267" s="1905"/>
      <c r="J267" s="1905"/>
      <c r="K267" s="1905"/>
      <c r="L267" s="1905"/>
      <c r="M267" s="1905"/>
      <c r="N267" s="1905"/>
      <c r="O267" s="1905"/>
      <c r="P267" s="1905"/>
      <c r="Q267" s="1905"/>
      <c r="R267" s="1905"/>
      <c r="S267" s="1905"/>
      <c r="T267" s="1905"/>
      <c r="U267" s="1905"/>
      <c r="V267" s="1905"/>
      <c r="W267" s="1905"/>
      <c r="X267" s="1905"/>
      <c r="Y267" s="1905"/>
      <c r="Z267" s="1905"/>
      <c r="AA267" s="1905"/>
      <c r="AB267" s="1905"/>
      <c r="AC267" s="1905"/>
      <c r="AD267" s="1905"/>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52" t="s">
        <v>124</v>
      </c>
      <c r="I269" s="1752"/>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85">
        <f>VLOOKUP($H$269,$AO$260:$AP$262,2,FALSE)</f>
        <v>0</v>
      </c>
      <c r="AK271" s="128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722" t="s">
        <v>2194</v>
      </c>
      <c r="F275" s="1722"/>
      <c r="G275" s="1722"/>
      <c r="H275" s="1722"/>
      <c r="I275" s="1722"/>
      <c r="J275" s="1722"/>
      <c r="K275" s="1722"/>
      <c r="L275" s="1722"/>
      <c r="M275" s="1722"/>
      <c r="N275" s="1722"/>
      <c r="O275" s="1722"/>
      <c r="P275" s="1722"/>
      <c r="Q275" s="1722"/>
      <c r="R275" s="1722"/>
      <c r="S275" s="1722"/>
      <c r="T275" s="1722"/>
      <c r="U275" s="1722"/>
      <c r="V275" s="1722"/>
      <c r="W275" s="1722"/>
      <c r="X275" s="1722"/>
      <c r="Y275" s="1722"/>
      <c r="Z275" s="1722"/>
      <c r="AA275" s="1722"/>
      <c r="AB275" s="1722"/>
      <c r="AC275" s="1722"/>
      <c r="AD275" s="1722"/>
      <c r="AF275" s="1708" t="s">
        <v>1628</v>
      </c>
      <c r="AG275" s="1708"/>
      <c r="AH275" s="1708"/>
      <c r="AI275" s="1708"/>
      <c r="AJ275" s="1708"/>
      <c r="AK275" s="1708"/>
      <c r="AL275" s="1708"/>
      <c r="AM275" s="102"/>
      <c r="AN275" s="202"/>
      <c r="AO275" s="26" t="s">
        <v>108</v>
      </c>
      <c r="AP275" s="4">
        <v>8</v>
      </c>
      <c r="AT275" s="425"/>
      <c r="AU275" s="425"/>
      <c r="AV275" s="425"/>
      <c r="AW275" s="425"/>
      <c r="AX275" s="425"/>
      <c r="AY275" s="425"/>
      <c r="AZ275" s="425"/>
    </row>
    <row r="276" spans="1:82" customFormat="1">
      <c r="A276" s="4"/>
      <c r="B276" s="100"/>
      <c r="C276" s="135"/>
      <c r="D276" s="26"/>
      <c r="E276" s="1722"/>
      <c r="F276" s="1722"/>
      <c r="G276" s="1722"/>
      <c r="H276" s="1722"/>
      <c r="I276" s="1722"/>
      <c r="J276" s="1722"/>
      <c r="K276" s="1722"/>
      <c r="L276" s="1722"/>
      <c r="M276" s="1722"/>
      <c r="N276" s="1722"/>
      <c r="O276" s="1722"/>
      <c r="P276" s="1722"/>
      <c r="Q276" s="1722"/>
      <c r="R276" s="1722"/>
      <c r="S276" s="1722"/>
      <c r="T276" s="1722"/>
      <c r="U276" s="1722"/>
      <c r="V276" s="1722"/>
      <c r="W276" s="1722"/>
      <c r="X276" s="1722"/>
      <c r="Y276" s="1722"/>
      <c r="Z276" s="1722"/>
      <c r="AA276" s="1722"/>
      <c r="AB276" s="1722"/>
      <c r="AC276" s="1722"/>
      <c r="AD276" s="172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22"/>
      <c r="F277" s="1722"/>
      <c r="G277" s="1722"/>
      <c r="H277" s="1722"/>
      <c r="I277" s="1722"/>
      <c r="J277" s="1722"/>
      <c r="K277" s="1722"/>
      <c r="L277" s="1722"/>
      <c r="M277" s="1722"/>
      <c r="N277" s="1722"/>
      <c r="O277" s="1722"/>
      <c r="P277" s="1722"/>
      <c r="Q277" s="1722"/>
      <c r="R277" s="1722"/>
      <c r="S277" s="1722"/>
      <c r="T277" s="1722"/>
      <c r="U277" s="1722"/>
      <c r="V277" s="1722"/>
      <c r="W277" s="1722"/>
      <c r="X277" s="1722"/>
      <c r="Y277" s="1722"/>
      <c r="Z277" s="1722"/>
      <c r="AA277" s="1722"/>
      <c r="AB277" s="1722"/>
      <c r="AC277" s="1722"/>
      <c r="AD277" s="172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52" t="s">
        <v>108</v>
      </c>
      <c r="I279" s="1752"/>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285">
        <f>VLOOKUP($H$279,$AO$274:$AP$275,2,FALSE)</f>
        <v>8</v>
      </c>
      <c r="AK281" s="128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85">
        <f>$AJ$124+$AJ$139+$AJ$151+$AJ$184+$AJ$206+$AJ$218+$AJ$230+$AJ$244+$AJ$256+$AJ$271+AJ281</f>
        <v>25</v>
      </c>
      <c r="AL283" s="1286"/>
      <c r="AM283" s="1287"/>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87" t="s">
        <v>2428</v>
      </c>
      <c r="I287" s="1087"/>
      <c r="J287" s="1087"/>
      <c r="K287" s="1087"/>
      <c r="L287" s="1087"/>
      <c r="M287" s="1087"/>
      <c r="N287" s="1087"/>
      <c r="O287" s="1087"/>
      <c r="P287" s="1087"/>
      <c r="Q287" s="1087"/>
      <c r="R287" s="1087"/>
      <c r="S287"/>
      <c r="T287" s="41" t="s">
        <v>89</v>
      </c>
      <c r="U287"/>
      <c r="V287" s="41"/>
      <c r="W287" s="41"/>
      <c r="X287" s="41"/>
      <c r="Y287" s="41"/>
      <c r="Z287"/>
      <c r="AA287" s="1087" t="s">
        <v>2434</v>
      </c>
      <c r="AB287" s="1087"/>
      <c r="AC287" s="1087"/>
      <c r="AD287" s="1087"/>
      <c r="AE287" s="1087"/>
      <c r="AF287" s="1087"/>
      <c r="AG287" s="1087"/>
      <c r="AH287" s="1087"/>
      <c r="AI287" s="1087"/>
      <c r="AJ287" s="1087"/>
      <c r="AK287" s="1087"/>
      <c r="AL287" s="10"/>
      <c r="AN287" s="279"/>
      <c r="AP287" t="s">
        <v>91</v>
      </c>
    </row>
    <row r="288" spans="1:82" s="4" customFormat="1" ht="12.75" customHeight="1">
      <c r="B288" s="41" t="s">
        <v>699</v>
      </c>
      <c r="C288" s="41"/>
      <c r="D288" s="41"/>
      <c r="E288" s="41"/>
      <c r="F288" s="41"/>
      <c r="G288"/>
      <c r="H288" s="1085" t="s">
        <v>2429</v>
      </c>
      <c r="I288" s="1085"/>
      <c r="J288" s="1085"/>
      <c r="K288" s="1085"/>
      <c r="L288" s="1085"/>
      <c r="M288" s="1085"/>
      <c r="N288" s="1085"/>
      <c r="O288" s="1085"/>
      <c r="P288" s="1085"/>
      <c r="Q288" s="1085"/>
      <c r="R288" s="1085"/>
      <c r="S288"/>
      <c r="T288" s="41" t="s">
        <v>699</v>
      </c>
      <c r="U288"/>
      <c r="V288" s="41"/>
      <c r="W288" s="41"/>
      <c r="X288" s="41"/>
      <c r="Y288" s="41"/>
      <c r="Z288"/>
      <c r="AA288" s="1085" t="s">
        <v>2435</v>
      </c>
      <c r="AB288" s="1085"/>
      <c r="AC288" s="1085"/>
      <c r="AD288" s="1085"/>
      <c r="AE288" s="1085"/>
      <c r="AF288" s="1085"/>
      <c r="AG288" s="1085"/>
      <c r="AH288" s="1085"/>
      <c r="AI288" s="1085"/>
      <c r="AJ288" s="1085"/>
      <c r="AK288" s="1085"/>
      <c r="AL288" s="10"/>
      <c r="AN288" s="279"/>
      <c r="AP288" t="s">
        <v>92</v>
      </c>
    </row>
    <row r="289" spans="1:42" s="4" customFormat="1" ht="12.75" customHeight="1">
      <c r="B289" s="41" t="s">
        <v>99</v>
      </c>
      <c r="C289" s="41"/>
      <c r="D289" s="41"/>
      <c r="E289" s="41"/>
      <c r="F289" s="41"/>
      <c r="G289"/>
      <c r="H289" s="1085" t="s">
        <v>2430</v>
      </c>
      <c r="I289" s="1085"/>
      <c r="J289" s="1085"/>
      <c r="K289" s="1085"/>
      <c r="L289" s="1085"/>
      <c r="M289" s="1085"/>
      <c r="N289" s="1085"/>
      <c r="O289" s="1085"/>
      <c r="P289" s="1085"/>
      <c r="Q289" s="1085"/>
      <c r="R289" s="1085"/>
      <c r="S289"/>
      <c r="T289" s="41" t="s">
        <v>99</v>
      </c>
      <c r="U289"/>
      <c r="V289" s="41"/>
      <c r="W289" s="41"/>
      <c r="X289" s="41"/>
      <c r="Y289" s="41"/>
      <c r="Z289"/>
      <c r="AA289" s="1085" t="s">
        <v>2430</v>
      </c>
      <c r="AB289" s="1085"/>
      <c r="AC289" s="1085"/>
      <c r="AD289" s="1085"/>
      <c r="AE289" s="1085"/>
      <c r="AF289" s="1085"/>
      <c r="AG289" s="1085"/>
      <c r="AH289" s="1085"/>
      <c r="AI289" s="1085"/>
      <c r="AJ289" s="1085"/>
      <c r="AK289" s="1085"/>
      <c r="AL289" s="10"/>
      <c r="AN289" s="279"/>
      <c r="AO289" s="209"/>
      <c r="AP289" t="s">
        <v>93</v>
      </c>
    </row>
    <row r="290" spans="1:42" s="4" customFormat="1" ht="12.75" customHeight="1">
      <c r="B290" s="41" t="s">
        <v>374</v>
      </c>
      <c r="C290" s="41"/>
      <c r="D290" s="41"/>
      <c r="E290" s="41"/>
      <c r="F290" s="41"/>
      <c r="G290"/>
      <c r="H290" s="1085" t="s">
        <v>2431</v>
      </c>
      <c r="I290" s="1085"/>
      <c r="J290" s="1085"/>
      <c r="K290" s="1085"/>
      <c r="L290" s="1085"/>
      <c r="M290" s="1085"/>
      <c r="N290" s="1085"/>
      <c r="O290" s="1085"/>
      <c r="P290" s="1085"/>
      <c r="Q290" s="1085"/>
      <c r="R290" s="1085"/>
      <c r="S290"/>
      <c r="T290" s="41" t="s">
        <v>374</v>
      </c>
      <c r="U290"/>
      <c r="V290" s="41"/>
      <c r="W290" s="41"/>
      <c r="X290" s="41"/>
      <c r="Y290" s="41"/>
      <c r="Z290"/>
      <c r="AA290" s="1085"/>
      <c r="AB290" s="1085"/>
      <c r="AC290" s="1085"/>
      <c r="AD290" s="1085"/>
      <c r="AE290" s="1085"/>
      <c r="AF290" s="1085"/>
      <c r="AG290" s="1085"/>
      <c r="AH290" s="1085"/>
      <c r="AI290" s="1085"/>
      <c r="AJ290" s="1085"/>
      <c r="AK290" s="1085"/>
      <c r="AL290" s="10"/>
      <c r="AN290" s="279"/>
      <c r="AO290" s="209"/>
      <c r="AP290" t="s">
        <v>347</v>
      </c>
    </row>
    <row r="291" spans="1:42" s="4" customFormat="1" ht="12.75" customHeight="1">
      <c r="B291" s="41" t="s">
        <v>375</v>
      </c>
      <c r="C291" s="41"/>
      <c r="D291" s="41"/>
      <c r="E291" s="41"/>
      <c r="F291" s="41"/>
      <c r="G291" s="41"/>
      <c r="H291" s="1431"/>
      <c r="I291" s="1431"/>
      <c r="J291" s="1431"/>
      <c r="K291" s="1431"/>
      <c r="L291" s="1431"/>
      <c r="M291" s="1431"/>
      <c r="N291" s="5" t="s">
        <v>818</v>
      </c>
      <c r="O291" s="5"/>
      <c r="P291" s="1435"/>
      <c r="Q291" s="1435"/>
      <c r="R291" s="1435"/>
      <c r="S291" s="41"/>
      <c r="T291" s="41" t="s">
        <v>375</v>
      </c>
      <c r="U291"/>
      <c r="V291" s="41"/>
      <c r="W291" s="41"/>
      <c r="X291" s="41"/>
      <c r="Y291" s="41"/>
      <c r="Z291"/>
      <c r="AA291" s="1431" t="s">
        <v>2438</v>
      </c>
      <c r="AB291" s="1431"/>
      <c r="AC291" s="1431"/>
      <c r="AD291" s="1431"/>
      <c r="AE291" s="1431"/>
      <c r="AF291" s="1431"/>
      <c r="AG291" s="5" t="s">
        <v>818</v>
      </c>
      <c r="AH291" s="5"/>
      <c r="AI291" s="1435"/>
      <c r="AJ291" s="1435"/>
      <c r="AK291" s="1435"/>
      <c r="AL291" s="10"/>
      <c r="AN291" s="279"/>
      <c r="AO291" s="209"/>
      <c r="AP291" t="s">
        <v>2289</v>
      </c>
    </row>
    <row r="292" spans="1:42" s="4" customFormat="1" ht="12.75" customHeight="1">
      <c r="B292" s="41" t="s">
        <v>88</v>
      </c>
      <c r="C292" s="41"/>
      <c r="D292" s="41"/>
      <c r="E292" s="41"/>
      <c r="F292" s="41"/>
      <c r="G292" s="41"/>
      <c r="H292" s="1085" t="s">
        <v>100</v>
      </c>
      <c r="I292" s="1085"/>
      <c r="J292" s="1085"/>
      <c r="K292" s="1085"/>
      <c r="L292" s="1085"/>
      <c r="M292" s="1085"/>
      <c r="N292" s="1085"/>
      <c r="O292" s="1085"/>
      <c r="P292" s="1085"/>
      <c r="Q292" s="1085"/>
      <c r="R292" s="1085"/>
      <c r="S292" s="41"/>
      <c r="T292" s="41" t="s">
        <v>88</v>
      </c>
      <c r="U292"/>
      <c r="V292" s="41"/>
      <c r="W292" s="41"/>
      <c r="X292" s="41"/>
      <c r="Y292" s="41"/>
      <c r="Z292"/>
      <c r="AA292" s="1085" t="s">
        <v>91</v>
      </c>
      <c r="AB292" s="1085"/>
      <c r="AC292" s="1085"/>
      <c r="AD292" s="1085"/>
      <c r="AE292" s="1085"/>
      <c r="AF292" s="1085"/>
      <c r="AG292" s="1085"/>
      <c r="AH292" s="1085"/>
      <c r="AI292" s="1085"/>
      <c r="AJ292" s="1085"/>
      <c r="AK292" s="1085"/>
      <c r="AL292" s="10"/>
      <c r="AN292" s="279"/>
      <c r="AO292" s="209"/>
      <c r="AP292" t="s">
        <v>100</v>
      </c>
    </row>
    <row r="293" spans="1:42" s="4" customFormat="1" ht="12.75" customHeight="1">
      <c r="B293" s="41" t="s">
        <v>90</v>
      </c>
      <c r="C293" s="41"/>
      <c r="D293" s="41"/>
      <c r="E293" s="41"/>
      <c r="F293" s="41"/>
      <c r="G293" s="41"/>
      <c r="H293" s="1085" t="s">
        <v>2432</v>
      </c>
      <c r="I293" s="1085"/>
      <c r="J293" s="1085"/>
      <c r="K293" s="1085"/>
      <c r="L293" s="1085"/>
      <c r="M293" s="1085"/>
      <c r="N293" s="1085"/>
      <c r="O293" s="1085"/>
      <c r="P293" s="1085"/>
      <c r="Q293" s="1085"/>
      <c r="R293" s="1085"/>
      <c r="S293" s="41"/>
      <c r="T293" s="41" t="s">
        <v>90</v>
      </c>
      <c r="U293"/>
      <c r="V293" s="41"/>
      <c r="W293" s="41"/>
      <c r="X293" s="41"/>
      <c r="Y293" s="41"/>
      <c r="Z293"/>
      <c r="AA293" s="1085" t="s">
        <v>2436</v>
      </c>
      <c r="AB293" s="1085"/>
      <c r="AC293" s="1085"/>
      <c r="AD293" s="1085"/>
      <c r="AE293" s="1085"/>
      <c r="AF293" s="1085"/>
      <c r="AG293" s="1085"/>
      <c r="AH293" s="1085"/>
      <c r="AI293" s="1085"/>
      <c r="AJ293" s="1085"/>
      <c r="AK293" s="1085"/>
      <c r="AL293" s="10"/>
      <c r="AN293" s="279"/>
      <c r="AP293" t="s">
        <v>97</v>
      </c>
    </row>
    <row r="294" spans="1:42" s="4" customFormat="1" ht="12.75" customHeight="1">
      <c r="B294" s="41" t="s">
        <v>101</v>
      </c>
      <c r="C294" s="41"/>
      <c r="D294" s="41"/>
      <c r="E294" s="41"/>
      <c r="F294" s="41"/>
      <c r="G294" s="41"/>
      <c r="H294" s="1678" t="s">
        <v>2433</v>
      </c>
      <c r="I294" s="1678"/>
      <c r="J294" s="1678"/>
      <c r="K294" s="1678"/>
      <c r="L294" s="1678"/>
      <c r="M294" s="1678"/>
      <c r="N294" s="1678"/>
      <c r="O294" s="1678"/>
      <c r="P294" s="1678"/>
      <c r="Q294" s="1678"/>
      <c r="R294" s="1678"/>
      <c r="S294" s="41"/>
      <c r="T294" s="41" t="s">
        <v>101</v>
      </c>
      <c r="U294" s="41"/>
      <c r="V294" s="41"/>
      <c r="W294" s="41"/>
      <c r="X294" s="41"/>
      <c r="Y294" s="41"/>
      <c r="Z294" s="12"/>
      <c r="AA294" s="1678" t="s">
        <v>2437</v>
      </c>
      <c r="AB294" s="1678"/>
      <c r="AC294" s="1678"/>
      <c r="AD294" s="1678"/>
      <c r="AE294" s="1678"/>
      <c r="AF294" s="1678"/>
      <c r="AG294" s="1678"/>
      <c r="AH294" s="1678"/>
      <c r="AI294" s="1678"/>
      <c r="AJ294" s="1678"/>
      <c r="AK294" s="1678"/>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87" t="s">
        <v>2444</v>
      </c>
      <c r="I296" s="1087"/>
      <c r="J296" s="1087"/>
      <c r="K296" s="1087"/>
      <c r="L296" s="1087"/>
      <c r="M296" s="1087"/>
      <c r="N296" s="1087"/>
      <c r="O296" s="1087"/>
      <c r="P296" s="1087"/>
      <c r="Q296" s="1087"/>
      <c r="R296" s="1087"/>
      <c r="S296"/>
      <c r="T296" s="41" t="s">
        <v>89</v>
      </c>
      <c r="U296"/>
      <c r="V296" s="41"/>
      <c r="W296" s="41"/>
      <c r="X296" s="41"/>
      <c r="Y296" s="41"/>
      <c r="Z296"/>
      <c r="AA296" s="1087" t="s">
        <v>2439</v>
      </c>
      <c r="AB296" s="1087"/>
      <c r="AC296" s="1087"/>
      <c r="AD296" s="1087"/>
      <c r="AE296" s="1087"/>
      <c r="AF296" s="1087"/>
      <c r="AG296" s="1087"/>
      <c r="AH296" s="1087"/>
      <c r="AI296" s="1087"/>
      <c r="AJ296" s="1087"/>
      <c r="AK296" s="1087"/>
      <c r="AL296" s="10"/>
      <c r="AN296" s="279"/>
      <c r="AP296" t="s">
        <v>96</v>
      </c>
    </row>
    <row r="297" spans="1:42" s="20" customFormat="1" ht="12.75" customHeight="1">
      <c r="A297" s="4"/>
      <c r="B297" s="41" t="s">
        <v>699</v>
      </c>
      <c r="C297" s="41"/>
      <c r="D297" s="41"/>
      <c r="E297" s="41"/>
      <c r="F297" s="41"/>
      <c r="G297"/>
      <c r="H297" s="1085" t="s">
        <v>2445</v>
      </c>
      <c r="I297" s="1085"/>
      <c r="J297" s="1085"/>
      <c r="K297" s="1085"/>
      <c r="L297" s="1085"/>
      <c r="M297" s="1085"/>
      <c r="N297" s="1085"/>
      <c r="O297" s="1085"/>
      <c r="P297" s="1085"/>
      <c r="Q297" s="1085"/>
      <c r="R297" s="1085"/>
      <c r="S297"/>
      <c r="T297" s="41" t="s">
        <v>699</v>
      </c>
      <c r="U297"/>
      <c r="V297" s="41"/>
      <c r="W297" s="41"/>
      <c r="X297" s="41"/>
      <c r="Y297" s="41"/>
      <c r="Z297"/>
      <c r="AA297" s="1085" t="s">
        <v>2440</v>
      </c>
      <c r="AB297" s="1085"/>
      <c r="AC297" s="1085"/>
      <c r="AD297" s="1085"/>
      <c r="AE297" s="1085"/>
      <c r="AF297" s="1085"/>
      <c r="AG297" s="1085"/>
      <c r="AH297" s="1085"/>
      <c r="AI297" s="1085"/>
      <c r="AJ297" s="1085"/>
      <c r="AK297" s="1085"/>
      <c r="AL297" s="10"/>
      <c r="AM297" s="4"/>
      <c r="AN297" s="279"/>
      <c r="AO297" s="4"/>
      <c r="AP297" s="48" t="s">
        <v>348</v>
      </c>
    </row>
    <row r="298" spans="1:42" s="20" customFormat="1" ht="12.75" customHeight="1">
      <c r="A298" s="4"/>
      <c r="B298" s="41" t="s">
        <v>99</v>
      </c>
      <c r="C298" s="41"/>
      <c r="D298" s="41"/>
      <c r="E298" s="41"/>
      <c r="F298" s="41"/>
      <c r="G298"/>
      <c r="H298" s="1085" t="s">
        <v>2446</v>
      </c>
      <c r="I298" s="1085"/>
      <c r="J298" s="1085"/>
      <c r="K298" s="1085"/>
      <c r="L298" s="1085"/>
      <c r="M298" s="1085"/>
      <c r="N298" s="1085"/>
      <c r="O298" s="1085"/>
      <c r="P298" s="1085"/>
      <c r="Q298" s="1085"/>
      <c r="R298" s="1085"/>
      <c r="S298"/>
      <c r="T298" s="41" t="s">
        <v>99</v>
      </c>
      <c r="U298"/>
      <c r="V298" s="41"/>
      <c r="W298" s="41"/>
      <c r="X298" s="41"/>
      <c r="Y298" s="41"/>
      <c r="Z298"/>
      <c r="AA298" s="1085" t="s">
        <v>2430</v>
      </c>
      <c r="AB298" s="1085"/>
      <c r="AC298" s="1085"/>
      <c r="AD298" s="1085"/>
      <c r="AE298" s="1085"/>
      <c r="AF298" s="1085"/>
      <c r="AG298" s="1085"/>
      <c r="AH298" s="1085"/>
      <c r="AI298" s="1085"/>
      <c r="AJ298" s="1085"/>
      <c r="AK298" s="1085"/>
      <c r="AL298" s="10"/>
      <c r="AM298" s="4"/>
      <c r="AN298" s="279"/>
      <c r="AO298" s="4"/>
    </row>
    <row r="299" spans="1:42" s="4" customFormat="1" ht="12.75" customHeight="1">
      <c r="B299" s="41" t="s">
        <v>374</v>
      </c>
      <c r="C299" s="41"/>
      <c r="D299" s="41"/>
      <c r="E299" s="41"/>
      <c r="F299" s="41"/>
      <c r="G299"/>
      <c r="H299" s="1085" t="s">
        <v>2447</v>
      </c>
      <c r="I299" s="1085"/>
      <c r="J299" s="1085"/>
      <c r="K299" s="1085"/>
      <c r="L299" s="1085"/>
      <c r="M299" s="1085"/>
      <c r="N299" s="1085"/>
      <c r="O299" s="1085"/>
      <c r="P299" s="1085"/>
      <c r="Q299" s="1085"/>
      <c r="R299" s="1085"/>
      <c r="S299"/>
      <c r="T299" s="41" t="s">
        <v>374</v>
      </c>
      <c r="U299"/>
      <c r="V299" s="41"/>
      <c r="W299" s="41"/>
      <c r="X299" s="41"/>
      <c r="Y299" s="41"/>
      <c r="Z299"/>
      <c r="AA299" s="1085"/>
      <c r="AB299" s="1085"/>
      <c r="AC299" s="1085"/>
      <c r="AD299" s="1085"/>
      <c r="AE299" s="1085"/>
      <c r="AF299" s="1085"/>
      <c r="AG299" s="1085"/>
      <c r="AH299" s="1085"/>
      <c r="AI299" s="1085"/>
      <c r="AJ299" s="1085"/>
      <c r="AK299" s="1085"/>
      <c r="AL299" s="10"/>
      <c r="AN299" s="279"/>
    </row>
    <row r="300" spans="1:42" s="4" customFormat="1" ht="12.75" customHeight="1">
      <c r="B300" s="41" t="s">
        <v>375</v>
      </c>
      <c r="C300" s="41"/>
      <c r="D300" s="41"/>
      <c r="E300" s="41"/>
      <c r="F300" s="41"/>
      <c r="G300" s="41"/>
      <c r="H300" s="1431"/>
      <c r="I300" s="1431"/>
      <c r="J300" s="1431"/>
      <c r="K300" s="1431"/>
      <c r="L300" s="1431"/>
      <c r="M300" s="1431"/>
      <c r="N300" s="5" t="s">
        <v>818</v>
      </c>
      <c r="O300" s="5"/>
      <c r="P300" s="1435"/>
      <c r="Q300" s="1435"/>
      <c r="R300" s="1435"/>
      <c r="S300" s="41"/>
      <c r="T300" s="41" t="s">
        <v>375</v>
      </c>
      <c r="U300"/>
      <c r="V300" s="41"/>
      <c r="W300" s="41"/>
      <c r="X300" s="41"/>
      <c r="Y300" s="41"/>
      <c r="Z300"/>
      <c r="AA300" s="1431" t="s">
        <v>2441</v>
      </c>
      <c r="AB300" s="1431"/>
      <c r="AC300" s="1431"/>
      <c r="AD300" s="1431"/>
      <c r="AE300" s="1431"/>
      <c r="AF300" s="1431"/>
      <c r="AG300" s="5" t="s">
        <v>818</v>
      </c>
      <c r="AH300" s="5"/>
      <c r="AI300" s="1435"/>
      <c r="AJ300" s="1435"/>
      <c r="AK300" s="1435"/>
      <c r="AL300" s="10"/>
      <c r="AN300" s="279"/>
    </row>
    <row r="301" spans="1:42" s="4" customFormat="1" ht="12.75" customHeight="1">
      <c r="B301" s="41" t="s">
        <v>88</v>
      </c>
      <c r="C301" s="41"/>
      <c r="D301" s="41"/>
      <c r="E301" s="41"/>
      <c r="F301" s="41"/>
      <c r="G301" s="41"/>
      <c r="H301" s="1085" t="s">
        <v>347</v>
      </c>
      <c r="I301" s="1085"/>
      <c r="J301" s="1085"/>
      <c r="K301" s="1085"/>
      <c r="L301" s="1085"/>
      <c r="M301" s="1085"/>
      <c r="N301" s="1085"/>
      <c r="O301" s="1085"/>
      <c r="P301" s="1085"/>
      <c r="Q301" s="1085"/>
      <c r="R301" s="1085"/>
      <c r="S301" s="41"/>
      <c r="T301" s="41" t="s">
        <v>88</v>
      </c>
      <c r="U301"/>
      <c r="V301" s="41"/>
      <c r="W301" s="41"/>
      <c r="X301" s="41"/>
      <c r="Y301" s="41"/>
      <c r="Z301"/>
      <c r="AA301" s="1085" t="s">
        <v>92</v>
      </c>
      <c r="AB301" s="1085"/>
      <c r="AC301" s="1085"/>
      <c r="AD301" s="1085"/>
      <c r="AE301" s="1085"/>
      <c r="AF301" s="1085"/>
      <c r="AG301" s="1085"/>
      <c r="AH301" s="1085"/>
      <c r="AI301" s="1085"/>
      <c r="AJ301" s="1085"/>
      <c r="AK301" s="1085"/>
      <c r="AL301" s="10"/>
      <c r="AN301" s="279"/>
    </row>
    <row r="302" spans="1:42" s="4" customFormat="1" ht="12.75" customHeight="1">
      <c r="B302" s="41" t="s">
        <v>90</v>
      </c>
      <c r="C302" s="41"/>
      <c r="D302" s="41"/>
      <c r="E302" s="41"/>
      <c r="F302" s="41"/>
      <c r="G302" s="41"/>
      <c r="H302" s="1085" t="s">
        <v>2448</v>
      </c>
      <c r="I302" s="1085"/>
      <c r="J302" s="1085"/>
      <c r="K302" s="1085"/>
      <c r="L302" s="1085"/>
      <c r="M302" s="1085"/>
      <c r="N302" s="1085"/>
      <c r="O302" s="1085"/>
      <c r="P302" s="1085"/>
      <c r="Q302" s="1085"/>
      <c r="R302" s="1085"/>
      <c r="S302" s="41"/>
      <c r="T302" s="41" t="s">
        <v>90</v>
      </c>
      <c r="U302"/>
      <c r="V302" s="41"/>
      <c r="W302" s="41"/>
      <c r="X302" s="41"/>
      <c r="Y302" s="41"/>
      <c r="Z302"/>
      <c r="AA302" s="1085" t="s">
        <v>2442</v>
      </c>
      <c r="AB302" s="1085"/>
      <c r="AC302" s="1085"/>
      <c r="AD302" s="1085"/>
      <c r="AE302" s="1085"/>
      <c r="AF302" s="1085"/>
      <c r="AG302" s="1085"/>
      <c r="AH302" s="1085"/>
      <c r="AI302" s="1085"/>
      <c r="AJ302" s="1085"/>
      <c r="AK302" s="1085"/>
      <c r="AL302" s="10"/>
      <c r="AN302" s="279"/>
    </row>
    <row r="303" spans="1:42" s="4" customFormat="1" ht="12.75" customHeight="1">
      <c r="B303" s="41" t="s">
        <v>101</v>
      </c>
      <c r="C303" s="41"/>
      <c r="D303" s="41"/>
      <c r="E303" s="41"/>
      <c r="F303" s="41"/>
      <c r="G303" s="41"/>
      <c r="H303" s="1678" t="s">
        <v>2449</v>
      </c>
      <c r="I303" s="1678"/>
      <c r="J303" s="1678"/>
      <c r="K303" s="1678"/>
      <c r="L303" s="1678"/>
      <c r="M303" s="1678"/>
      <c r="N303" s="1678"/>
      <c r="O303" s="1678"/>
      <c r="P303" s="1678"/>
      <c r="Q303" s="1678"/>
      <c r="R303" s="1678"/>
      <c r="S303" s="41"/>
      <c r="T303" s="41" t="s">
        <v>101</v>
      </c>
      <c r="U303" s="41"/>
      <c r="V303" s="41"/>
      <c r="W303" s="41"/>
      <c r="X303" s="41"/>
      <c r="Y303" s="41"/>
      <c r="Z303" s="12"/>
      <c r="AA303" s="1678" t="s">
        <v>2443</v>
      </c>
      <c r="AB303" s="1678"/>
      <c r="AC303" s="1678"/>
      <c r="AD303" s="1678"/>
      <c r="AE303" s="1678"/>
      <c r="AF303" s="1678"/>
      <c r="AG303" s="1678"/>
      <c r="AH303" s="1678"/>
      <c r="AI303" s="1678"/>
      <c r="AJ303" s="1678"/>
      <c r="AK303" s="1678"/>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87" t="s">
        <v>2450</v>
      </c>
      <c r="I305" s="1087"/>
      <c r="J305" s="1087"/>
      <c r="K305" s="1087"/>
      <c r="L305" s="1087"/>
      <c r="M305" s="1087"/>
      <c r="N305" s="1087"/>
      <c r="O305" s="1087"/>
      <c r="P305" s="1087"/>
      <c r="Q305" s="1087"/>
      <c r="R305" s="1087"/>
      <c r="S305"/>
      <c r="T305" s="41" t="s">
        <v>89</v>
      </c>
      <c r="U305"/>
      <c r="V305" s="41"/>
      <c r="W305" s="41"/>
      <c r="X305" s="41"/>
      <c r="Y305" s="41"/>
      <c r="Z305"/>
      <c r="AA305" s="1087"/>
      <c r="AB305" s="1087"/>
      <c r="AC305" s="1087"/>
      <c r="AD305" s="1087"/>
      <c r="AE305" s="1087"/>
      <c r="AF305" s="1087"/>
      <c r="AG305" s="1087"/>
      <c r="AH305" s="1087"/>
      <c r="AI305" s="1087"/>
      <c r="AJ305" s="1087"/>
      <c r="AK305" s="1087"/>
      <c r="AL305" s="10"/>
      <c r="AN305" s="279"/>
    </row>
    <row r="306" spans="2:40" s="4" customFormat="1" ht="12.75" customHeight="1">
      <c r="B306" s="41" t="s">
        <v>699</v>
      </c>
      <c r="C306" s="41"/>
      <c r="D306" s="41"/>
      <c r="E306" s="41"/>
      <c r="F306" s="41"/>
      <c r="G306"/>
      <c r="H306" s="1085" t="s">
        <v>2451</v>
      </c>
      <c r="I306" s="1085"/>
      <c r="J306" s="1085"/>
      <c r="K306" s="1085"/>
      <c r="L306" s="1085"/>
      <c r="M306" s="1085"/>
      <c r="N306" s="1085"/>
      <c r="O306" s="1085"/>
      <c r="P306" s="1085"/>
      <c r="Q306" s="1085"/>
      <c r="R306" s="1085"/>
      <c r="S306"/>
      <c r="T306" s="41" t="s">
        <v>699</v>
      </c>
      <c r="U306"/>
      <c r="V306" s="41"/>
      <c r="W306" s="41"/>
      <c r="X306" s="41"/>
      <c r="Y306" s="41"/>
      <c r="Z306"/>
      <c r="AA306" s="1085"/>
      <c r="AB306" s="1085"/>
      <c r="AC306" s="1085"/>
      <c r="AD306" s="1085"/>
      <c r="AE306" s="1085"/>
      <c r="AF306" s="1085"/>
      <c r="AG306" s="1085"/>
      <c r="AH306" s="1085"/>
      <c r="AI306" s="1085"/>
      <c r="AJ306" s="1085"/>
      <c r="AK306" s="1085"/>
      <c r="AL306" s="10"/>
      <c r="AN306" s="279"/>
    </row>
    <row r="307" spans="2:40" s="4" customFormat="1" ht="12.75" customHeight="1">
      <c r="B307" s="41" t="s">
        <v>99</v>
      </c>
      <c r="C307" s="41"/>
      <c r="D307" s="41"/>
      <c r="E307" s="41"/>
      <c r="F307" s="41"/>
      <c r="G307"/>
      <c r="H307" s="1085" t="s">
        <v>2430</v>
      </c>
      <c r="I307" s="1085"/>
      <c r="J307" s="1085"/>
      <c r="K307" s="1085"/>
      <c r="L307" s="1085"/>
      <c r="M307" s="1085"/>
      <c r="N307" s="1085"/>
      <c r="O307" s="1085"/>
      <c r="P307" s="1085"/>
      <c r="Q307" s="1085"/>
      <c r="R307" s="1085"/>
      <c r="S307"/>
      <c r="T307" s="41" t="s">
        <v>99</v>
      </c>
      <c r="U307"/>
      <c r="V307" s="41"/>
      <c r="W307" s="41"/>
      <c r="X307" s="41"/>
      <c r="Y307" s="41"/>
      <c r="Z307"/>
      <c r="AA307" s="1085"/>
      <c r="AB307" s="1085"/>
      <c r="AC307" s="1085"/>
      <c r="AD307" s="1085"/>
      <c r="AE307" s="1085"/>
      <c r="AF307" s="1085"/>
      <c r="AG307" s="1085"/>
      <c r="AH307" s="1085"/>
      <c r="AI307" s="1085"/>
      <c r="AJ307" s="1085"/>
      <c r="AK307" s="1085"/>
      <c r="AL307" s="10"/>
      <c r="AN307" s="279"/>
    </row>
    <row r="308" spans="2:40" s="4" customFormat="1" ht="12.75" customHeight="1">
      <c r="B308" s="41" t="s">
        <v>374</v>
      </c>
      <c r="C308" s="41"/>
      <c r="D308" s="41"/>
      <c r="E308" s="41"/>
      <c r="F308" s="41"/>
      <c r="G308"/>
      <c r="H308" s="1085"/>
      <c r="I308" s="1085"/>
      <c r="J308" s="1085"/>
      <c r="K308" s="1085"/>
      <c r="L308" s="1085"/>
      <c r="M308" s="1085"/>
      <c r="N308" s="1085"/>
      <c r="O308" s="1085"/>
      <c r="P308" s="1085"/>
      <c r="Q308" s="1085"/>
      <c r="R308" s="1085"/>
      <c r="S308"/>
      <c r="T308" s="41" t="s">
        <v>374</v>
      </c>
      <c r="U308"/>
      <c r="V308" s="41"/>
      <c r="W308" s="41"/>
      <c r="X308" s="41"/>
      <c r="Y308" s="41"/>
      <c r="Z308"/>
      <c r="AA308" s="1085"/>
      <c r="AB308" s="1085"/>
      <c r="AC308" s="1085"/>
      <c r="AD308" s="1085"/>
      <c r="AE308" s="1085"/>
      <c r="AF308" s="1085"/>
      <c r="AG308" s="1085"/>
      <c r="AH308" s="1085"/>
      <c r="AI308" s="1085"/>
      <c r="AJ308" s="1085"/>
      <c r="AK308" s="1085"/>
      <c r="AL308" s="10"/>
      <c r="AN308" s="279"/>
    </row>
    <row r="309" spans="2:40" s="4" customFormat="1" ht="12.75" customHeight="1">
      <c r="B309" s="41" t="s">
        <v>375</v>
      </c>
      <c r="C309" s="41"/>
      <c r="D309" s="41"/>
      <c r="E309" s="41"/>
      <c r="F309" s="41"/>
      <c r="G309" s="41"/>
      <c r="H309" s="1431" t="s">
        <v>2452</v>
      </c>
      <c r="I309" s="1431"/>
      <c r="J309" s="1431"/>
      <c r="K309" s="1431"/>
      <c r="L309" s="1431"/>
      <c r="M309" s="1431"/>
      <c r="N309" s="5" t="s">
        <v>818</v>
      </c>
      <c r="O309" s="5"/>
      <c r="P309" s="1435"/>
      <c r="Q309" s="1435"/>
      <c r="R309" s="1435"/>
      <c r="S309" s="41"/>
      <c r="T309" s="41" t="s">
        <v>375</v>
      </c>
      <c r="U309"/>
      <c r="V309" s="41"/>
      <c r="W309" s="41"/>
      <c r="X309" s="41"/>
      <c r="Y309" s="41"/>
      <c r="Z309"/>
      <c r="AA309" s="1431"/>
      <c r="AB309" s="1431"/>
      <c r="AC309" s="1431"/>
      <c r="AD309" s="1431"/>
      <c r="AE309" s="1431"/>
      <c r="AF309" s="1431"/>
      <c r="AG309" s="5" t="s">
        <v>818</v>
      </c>
      <c r="AH309" s="5"/>
      <c r="AI309" s="1435"/>
      <c r="AJ309" s="1435"/>
      <c r="AK309" s="1435"/>
      <c r="AL309" s="10"/>
      <c r="AN309" s="279"/>
    </row>
    <row r="310" spans="2:40" s="4" customFormat="1" ht="12.75" customHeight="1">
      <c r="B310" s="41" t="s">
        <v>88</v>
      </c>
      <c r="C310" s="41"/>
      <c r="D310" s="41"/>
      <c r="E310" s="41"/>
      <c r="F310" s="41"/>
      <c r="G310" s="41"/>
      <c r="H310" s="1085" t="s">
        <v>96</v>
      </c>
      <c r="I310" s="1085"/>
      <c r="J310" s="1085"/>
      <c r="K310" s="1085"/>
      <c r="L310" s="1085"/>
      <c r="M310" s="1085"/>
      <c r="N310" s="1085"/>
      <c r="O310" s="1085"/>
      <c r="P310" s="1085"/>
      <c r="Q310" s="1085"/>
      <c r="R310" s="1085"/>
      <c r="S310" s="41"/>
      <c r="T310" s="41" t="s">
        <v>88</v>
      </c>
      <c r="U310"/>
      <c r="V310" s="41"/>
      <c r="W310" s="41"/>
      <c r="X310" s="41"/>
      <c r="Y310" s="41"/>
      <c r="Z310"/>
      <c r="AA310" s="1085"/>
      <c r="AB310" s="1085"/>
      <c r="AC310" s="1085"/>
      <c r="AD310" s="1085"/>
      <c r="AE310" s="1085"/>
      <c r="AF310" s="1085"/>
      <c r="AG310" s="1085"/>
      <c r="AH310" s="1085"/>
      <c r="AI310" s="1085"/>
      <c r="AJ310" s="1085"/>
      <c r="AK310" s="1085"/>
      <c r="AL310" s="10"/>
      <c r="AN310" s="279"/>
    </row>
    <row r="311" spans="2:40" s="4" customFormat="1" ht="12.75" customHeight="1">
      <c r="B311" s="41" t="s">
        <v>90</v>
      </c>
      <c r="C311" s="41"/>
      <c r="D311" s="41"/>
      <c r="E311" s="41"/>
      <c r="F311" s="41"/>
      <c r="G311" s="41"/>
      <c r="H311" s="1085" t="s">
        <v>2453</v>
      </c>
      <c r="I311" s="1085"/>
      <c r="J311" s="1085"/>
      <c r="K311" s="1085"/>
      <c r="L311" s="1085"/>
      <c r="M311" s="1085"/>
      <c r="N311" s="1085"/>
      <c r="O311" s="1085"/>
      <c r="P311" s="1085"/>
      <c r="Q311" s="1085"/>
      <c r="R311" s="1085"/>
      <c r="S311" s="41"/>
      <c r="T311" s="41" t="s">
        <v>90</v>
      </c>
      <c r="U311"/>
      <c r="V311" s="41"/>
      <c r="W311" s="41"/>
      <c r="X311" s="41"/>
      <c r="Y311" s="41"/>
      <c r="Z311"/>
      <c r="AA311" s="1085"/>
      <c r="AB311" s="1085"/>
      <c r="AC311" s="1085"/>
      <c r="AD311" s="1085"/>
      <c r="AE311" s="1085"/>
      <c r="AF311" s="1085"/>
      <c r="AG311" s="1085"/>
      <c r="AH311" s="1085"/>
      <c r="AI311" s="1085"/>
      <c r="AJ311" s="1085"/>
      <c r="AK311" s="1085"/>
      <c r="AL311" s="10"/>
      <c r="AN311" s="279"/>
    </row>
    <row r="312" spans="2:40" s="4" customFormat="1" ht="12.75" customHeight="1">
      <c r="B312" s="41" t="s">
        <v>101</v>
      </c>
      <c r="C312" s="41"/>
      <c r="D312" s="41"/>
      <c r="E312" s="41"/>
      <c r="F312" s="41"/>
      <c r="G312" s="41"/>
      <c r="H312" s="1678" t="s">
        <v>2454</v>
      </c>
      <c r="I312" s="1678"/>
      <c r="J312" s="1678"/>
      <c r="K312" s="1678"/>
      <c r="L312" s="1678"/>
      <c r="M312" s="1678"/>
      <c r="N312" s="1678"/>
      <c r="O312" s="1678"/>
      <c r="P312" s="1678"/>
      <c r="Q312" s="1678"/>
      <c r="R312" s="1678"/>
      <c r="S312" s="41"/>
      <c r="T312" s="41" t="s">
        <v>101</v>
      </c>
      <c r="U312" s="41"/>
      <c r="V312" s="41"/>
      <c r="W312" s="41"/>
      <c r="X312" s="41"/>
      <c r="Y312" s="41"/>
      <c r="Z312" s="12"/>
      <c r="AA312" s="1678"/>
      <c r="AB312" s="1678"/>
      <c r="AC312" s="1678"/>
      <c r="AD312" s="1678"/>
      <c r="AE312" s="1678"/>
      <c r="AF312" s="1678"/>
      <c r="AG312" s="1678"/>
      <c r="AH312" s="1678"/>
      <c r="AI312" s="1678"/>
      <c r="AJ312" s="1678"/>
      <c r="AK312" s="1678"/>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87"/>
      <c r="I314" s="1087"/>
      <c r="J314" s="1087"/>
      <c r="K314" s="1087"/>
      <c r="L314" s="1087"/>
      <c r="M314" s="1087"/>
      <c r="N314" s="1087"/>
      <c r="O314" s="1087"/>
      <c r="P314" s="1087"/>
      <c r="Q314" s="1087"/>
      <c r="R314" s="1087"/>
      <c r="S314"/>
      <c r="T314" s="41" t="s">
        <v>89</v>
      </c>
      <c r="U314"/>
      <c r="V314" s="41"/>
      <c r="W314" s="41"/>
      <c r="X314" s="41"/>
      <c r="Y314" s="41"/>
      <c r="Z314"/>
      <c r="AA314" s="1087"/>
      <c r="AB314" s="1087"/>
      <c r="AC314" s="1087"/>
      <c r="AD314" s="1087"/>
      <c r="AE314" s="1087"/>
      <c r="AF314" s="1087"/>
      <c r="AG314" s="1087"/>
      <c r="AH314" s="1087"/>
      <c r="AI314" s="1087"/>
      <c r="AJ314" s="1087"/>
      <c r="AK314" s="1087"/>
      <c r="AL314" s="10"/>
      <c r="AN314" s="279"/>
    </row>
    <row r="315" spans="2:40" s="4" customFormat="1" ht="12.75" customHeight="1">
      <c r="B315" s="41" t="s">
        <v>699</v>
      </c>
      <c r="C315" s="41"/>
      <c r="D315" s="41"/>
      <c r="E315" s="41"/>
      <c r="F315" s="41"/>
      <c r="G315"/>
      <c r="H315" s="1085"/>
      <c r="I315" s="1085"/>
      <c r="J315" s="1085"/>
      <c r="K315" s="1085"/>
      <c r="L315" s="1085"/>
      <c r="M315" s="1085"/>
      <c r="N315" s="1085"/>
      <c r="O315" s="1085"/>
      <c r="P315" s="1085"/>
      <c r="Q315" s="1085"/>
      <c r="R315" s="1085"/>
      <c r="S315"/>
      <c r="T315" s="41" t="s">
        <v>699</v>
      </c>
      <c r="U315"/>
      <c r="V315" s="41"/>
      <c r="W315" s="41"/>
      <c r="X315" s="41"/>
      <c r="Y315" s="41"/>
      <c r="Z315"/>
      <c r="AA315" s="1085"/>
      <c r="AB315" s="1085"/>
      <c r="AC315" s="1085"/>
      <c r="AD315" s="1085"/>
      <c r="AE315" s="1085"/>
      <c r="AF315" s="1085"/>
      <c r="AG315" s="1085"/>
      <c r="AH315" s="1085"/>
      <c r="AI315" s="1085"/>
      <c r="AJ315" s="1085"/>
      <c r="AK315" s="1085"/>
      <c r="AL315" s="10"/>
      <c r="AN315" s="279"/>
    </row>
    <row r="316" spans="2:40" s="4" customFormat="1" ht="12.75" customHeight="1">
      <c r="B316" s="41" t="s">
        <v>99</v>
      </c>
      <c r="C316" s="41"/>
      <c r="D316" s="41"/>
      <c r="E316" s="41"/>
      <c r="F316" s="41"/>
      <c r="G316"/>
      <c r="H316" s="1085"/>
      <c r="I316" s="1085"/>
      <c r="J316" s="1085"/>
      <c r="K316" s="1085"/>
      <c r="L316" s="1085"/>
      <c r="M316" s="1085"/>
      <c r="N316" s="1085"/>
      <c r="O316" s="1085"/>
      <c r="P316" s="1085"/>
      <c r="Q316" s="1085"/>
      <c r="R316" s="1085"/>
      <c r="S316"/>
      <c r="T316" s="41" t="s">
        <v>99</v>
      </c>
      <c r="U316"/>
      <c r="V316" s="41"/>
      <c r="W316" s="41"/>
      <c r="X316" s="41"/>
      <c r="Y316" s="41"/>
      <c r="Z316"/>
      <c r="AA316" s="1085"/>
      <c r="AB316" s="1085"/>
      <c r="AC316" s="1085"/>
      <c r="AD316" s="1085"/>
      <c r="AE316" s="1085"/>
      <c r="AF316" s="1085"/>
      <c r="AG316" s="1085"/>
      <c r="AH316" s="1085"/>
      <c r="AI316" s="1085"/>
      <c r="AJ316" s="1085"/>
      <c r="AK316" s="1085"/>
      <c r="AL316" s="10"/>
      <c r="AN316" s="279"/>
    </row>
    <row r="317" spans="2:40" s="4" customFormat="1" ht="12.75" customHeight="1">
      <c r="B317" s="41" t="s">
        <v>374</v>
      </c>
      <c r="C317" s="41"/>
      <c r="D317" s="41"/>
      <c r="E317" s="41"/>
      <c r="F317" s="41"/>
      <c r="G317"/>
      <c r="H317" s="1085"/>
      <c r="I317" s="1085"/>
      <c r="J317" s="1085"/>
      <c r="K317" s="1085"/>
      <c r="L317" s="1085"/>
      <c r="M317" s="1085"/>
      <c r="N317" s="1085"/>
      <c r="O317" s="1085"/>
      <c r="P317" s="1085"/>
      <c r="Q317" s="1085"/>
      <c r="R317" s="1085"/>
      <c r="S317"/>
      <c r="T317" s="41" t="s">
        <v>374</v>
      </c>
      <c r="U317"/>
      <c r="V317" s="41"/>
      <c r="W317" s="41"/>
      <c r="X317" s="41"/>
      <c r="Y317" s="41"/>
      <c r="Z317"/>
      <c r="AA317" s="1085"/>
      <c r="AB317" s="1085"/>
      <c r="AC317" s="1085"/>
      <c r="AD317" s="1085"/>
      <c r="AE317" s="1085"/>
      <c r="AF317" s="1085"/>
      <c r="AG317" s="1085"/>
      <c r="AH317" s="1085"/>
      <c r="AI317" s="1085"/>
      <c r="AJ317" s="1085"/>
      <c r="AK317" s="1085"/>
      <c r="AL317" s="10"/>
      <c r="AN317" s="279"/>
    </row>
    <row r="318" spans="2:40" s="4" customFormat="1" ht="12.75" customHeight="1">
      <c r="B318" s="41" t="s">
        <v>375</v>
      </c>
      <c r="C318" s="41"/>
      <c r="D318" s="41"/>
      <c r="E318" s="41"/>
      <c r="F318" s="41"/>
      <c r="G318" s="41"/>
      <c r="H318" s="1431"/>
      <c r="I318" s="1431"/>
      <c r="J318" s="1431"/>
      <c r="K318" s="1431"/>
      <c r="L318" s="1431"/>
      <c r="M318" s="1431"/>
      <c r="N318" s="5" t="s">
        <v>818</v>
      </c>
      <c r="O318" s="5"/>
      <c r="P318" s="1435"/>
      <c r="Q318" s="1435"/>
      <c r="R318" s="1435"/>
      <c r="S318" s="41"/>
      <c r="T318" s="41" t="s">
        <v>375</v>
      </c>
      <c r="U318"/>
      <c r="V318" s="41"/>
      <c r="W318" s="41"/>
      <c r="X318" s="41"/>
      <c r="Y318" s="41"/>
      <c r="Z318"/>
      <c r="AA318" s="1431"/>
      <c r="AB318" s="1431"/>
      <c r="AC318" s="1431"/>
      <c r="AD318" s="1431"/>
      <c r="AE318" s="1431"/>
      <c r="AF318" s="1431"/>
      <c r="AG318" s="5" t="s">
        <v>818</v>
      </c>
      <c r="AH318" s="5"/>
      <c r="AI318" s="1435"/>
      <c r="AJ318" s="1435"/>
      <c r="AK318" s="1435"/>
      <c r="AL318" s="10"/>
      <c r="AN318" s="279"/>
    </row>
    <row r="319" spans="2:40" s="4" customFormat="1" ht="12.75" customHeight="1">
      <c r="B319" s="41" t="s">
        <v>88</v>
      </c>
      <c r="C319" s="41"/>
      <c r="D319" s="41"/>
      <c r="E319" s="41"/>
      <c r="F319" s="41"/>
      <c r="G319" s="41"/>
      <c r="H319" s="1085"/>
      <c r="I319" s="1085"/>
      <c r="J319" s="1085"/>
      <c r="K319" s="1085"/>
      <c r="L319" s="1085"/>
      <c r="M319" s="1085"/>
      <c r="N319" s="1085"/>
      <c r="O319" s="1085"/>
      <c r="P319" s="1085"/>
      <c r="Q319" s="1085"/>
      <c r="R319" s="1085"/>
      <c r="S319" s="41"/>
      <c r="T319" s="41" t="s">
        <v>88</v>
      </c>
      <c r="U319"/>
      <c r="V319" s="41"/>
      <c r="W319" s="41"/>
      <c r="X319" s="41"/>
      <c r="Y319" s="41"/>
      <c r="Z319"/>
      <c r="AA319" s="1085"/>
      <c r="AB319" s="1085"/>
      <c r="AC319" s="1085"/>
      <c r="AD319" s="1085"/>
      <c r="AE319" s="1085"/>
      <c r="AF319" s="1085"/>
      <c r="AG319" s="1085"/>
      <c r="AH319" s="1085"/>
      <c r="AI319" s="1085"/>
      <c r="AJ319" s="1085"/>
      <c r="AK319" s="1085"/>
      <c r="AL319" s="10"/>
      <c r="AN319" s="279"/>
    </row>
    <row r="320" spans="2:40" s="4" customFormat="1" ht="12.75" customHeight="1">
      <c r="B320" s="41" t="s">
        <v>90</v>
      </c>
      <c r="C320" s="41"/>
      <c r="D320" s="41"/>
      <c r="E320" s="41"/>
      <c r="F320" s="41"/>
      <c r="G320" s="41"/>
      <c r="H320" s="1085"/>
      <c r="I320" s="1085"/>
      <c r="J320" s="1085"/>
      <c r="K320" s="1085"/>
      <c r="L320" s="1085"/>
      <c r="M320" s="1085"/>
      <c r="N320" s="1085"/>
      <c r="O320" s="1085"/>
      <c r="P320" s="1085"/>
      <c r="Q320" s="1085"/>
      <c r="R320" s="1085"/>
      <c r="S320" s="41"/>
      <c r="T320" s="41" t="s">
        <v>90</v>
      </c>
      <c r="U320"/>
      <c r="V320" s="41"/>
      <c r="W320" s="41"/>
      <c r="X320" s="41"/>
      <c r="Y320" s="41"/>
      <c r="Z320"/>
      <c r="AA320" s="1085"/>
      <c r="AB320" s="1085"/>
      <c r="AC320" s="1085"/>
      <c r="AD320" s="1085"/>
      <c r="AE320" s="1085"/>
      <c r="AF320" s="1085"/>
      <c r="AG320" s="1085"/>
      <c r="AH320" s="1085"/>
      <c r="AI320" s="1085"/>
      <c r="AJ320" s="1085"/>
      <c r="AK320" s="1085"/>
      <c r="AL320" s="10"/>
      <c r="AN320" s="279"/>
    </row>
    <row r="321" spans="1:76" s="4" customFormat="1" ht="12.75" customHeight="1">
      <c r="B321" s="41" t="s">
        <v>101</v>
      </c>
      <c r="C321" s="41"/>
      <c r="D321" s="41"/>
      <c r="E321" s="41"/>
      <c r="F321" s="41"/>
      <c r="G321" s="41"/>
      <c r="H321" s="1678"/>
      <c r="I321" s="1678"/>
      <c r="J321" s="1678"/>
      <c r="K321" s="1678"/>
      <c r="L321" s="1678"/>
      <c r="M321" s="1678"/>
      <c r="N321" s="1678"/>
      <c r="O321" s="1678"/>
      <c r="P321" s="1678"/>
      <c r="Q321" s="1678"/>
      <c r="R321" s="1678"/>
      <c r="S321" s="41"/>
      <c r="T321" s="41" t="s">
        <v>101</v>
      </c>
      <c r="U321" s="41"/>
      <c r="V321" s="41"/>
      <c r="W321" s="41"/>
      <c r="X321" s="41"/>
      <c r="Y321" s="41"/>
      <c r="Z321" s="12"/>
      <c r="AA321" s="1678"/>
      <c r="AB321" s="1678"/>
      <c r="AC321" s="1678"/>
      <c r="AD321" s="1678"/>
      <c r="AE321" s="1678"/>
      <c r="AF321" s="1678"/>
      <c r="AG321" s="1678"/>
      <c r="AH321" s="1678"/>
      <c r="AI321" s="1678"/>
      <c r="AJ321" s="1678"/>
      <c r="AK321" s="1678"/>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87"/>
      <c r="I323" s="1087"/>
      <c r="J323" s="1087"/>
      <c r="K323" s="1087"/>
      <c r="L323" s="1087"/>
      <c r="M323" s="1087"/>
      <c r="N323" s="1087"/>
      <c r="O323" s="1087"/>
      <c r="P323" s="1087"/>
      <c r="Q323" s="1087"/>
      <c r="R323" s="1087"/>
      <c r="S323"/>
      <c r="T323" s="41" t="s">
        <v>89</v>
      </c>
      <c r="U323"/>
      <c r="V323" s="41"/>
      <c r="W323" s="41"/>
      <c r="X323" s="41"/>
      <c r="Y323" s="41"/>
      <c r="Z323"/>
      <c r="AA323" s="1087"/>
      <c r="AB323" s="1087"/>
      <c r="AC323" s="1087"/>
      <c r="AD323" s="1087"/>
      <c r="AE323" s="1087"/>
      <c r="AF323" s="1087"/>
      <c r="AG323" s="1087"/>
      <c r="AH323" s="1087"/>
      <c r="AI323" s="1087"/>
      <c r="AJ323" s="1087"/>
      <c r="AK323" s="1087"/>
      <c r="AL323" s="41"/>
      <c r="AN323" s="279"/>
    </row>
    <row r="324" spans="1:76" s="4" customFormat="1" ht="12.75" customHeight="1">
      <c r="B324" s="41" t="s">
        <v>699</v>
      </c>
      <c r="C324" s="41"/>
      <c r="D324" s="41"/>
      <c r="E324" s="41"/>
      <c r="F324" s="41"/>
      <c r="G324"/>
      <c r="H324" s="1085"/>
      <c r="I324" s="1085"/>
      <c r="J324" s="1085"/>
      <c r="K324" s="1085"/>
      <c r="L324" s="1085"/>
      <c r="M324" s="1085"/>
      <c r="N324" s="1085"/>
      <c r="O324" s="1085"/>
      <c r="P324" s="1085"/>
      <c r="Q324" s="1085"/>
      <c r="R324" s="1085"/>
      <c r="S324"/>
      <c r="T324" s="41" t="s">
        <v>699</v>
      </c>
      <c r="U324"/>
      <c r="V324" s="41"/>
      <c r="W324" s="41"/>
      <c r="X324" s="41"/>
      <c r="Y324" s="41"/>
      <c r="Z324"/>
      <c r="AA324" s="1085"/>
      <c r="AB324" s="1085"/>
      <c r="AC324" s="1085"/>
      <c r="AD324" s="1085"/>
      <c r="AE324" s="1085"/>
      <c r="AF324" s="1085"/>
      <c r="AG324" s="1085"/>
      <c r="AH324" s="1085"/>
      <c r="AI324" s="1085"/>
      <c r="AJ324" s="1085"/>
      <c r="AK324" s="1085"/>
      <c r="AL324" s="41"/>
      <c r="AN324" s="279"/>
    </row>
    <row r="325" spans="1:76" s="4" customFormat="1" ht="18" customHeight="1">
      <c r="B325" s="41" t="s">
        <v>99</v>
      </c>
      <c r="C325" s="41"/>
      <c r="D325" s="41"/>
      <c r="E325" s="41"/>
      <c r="F325" s="41"/>
      <c r="G325"/>
      <c r="H325" s="1085"/>
      <c r="I325" s="1085"/>
      <c r="J325" s="1085"/>
      <c r="K325" s="1085"/>
      <c r="L325" s="1085"/>
      <c r="M325" s="1085"/>
      <c r="N325" s="1085"/>
      <c r="O325" s="1085"/>
      <c r="P325" s="1085"/>
      <c r="Q325" s="1085"/>
      <c r="R325" s="1085"/>
      <c r="S325"/>
      <c r="T325" s="41" t="s">
        <v>99</v>
      </c>
      <c r="U325"/>
      <c r="V325" s="41"/>
      <c r="W325" s="41"/>
      <c r="X325" s="41"/>
      <c r="Y325" s="41"/>
      <c r="Z325"/>
      <c r="AA325" s="1085"/>
      <c r="AB325" s="1085"/>
      <c r="AC325" s="1085"/>
      <c r="AD325" s="1085"/>
      <c r="AE325" s="1085"/>
      <c r="AF325" s="1085"/>
      <c r="AG325" s="1085"/>
      <c r="AH325" s="1085"/>
      <c r="AI325" s="1085"/>
      <c r="AJ325" s="1085"/>
      <c r="AK325" s="1085"/>
      <c r="AL325" s="41"/>
      <c r="AN325" s="279"/>
    </row>
    <row r="326" spans="1:76" s="4" customFormat="1" ht="12.75" customHeight="1">
      <c r="B326" s="41" t="s">
        <v>374</v>
      </c>
      <c r="C326" s="41"/>
      <c r="D326" s="41"/>
      <c r="E326" s="41"/>
      <c r="F326" s="41"/>
      <c r="G326"/>
      <c r="H326" s="1085"/>
      <c r="I326" s="1085"/>
      <c r="J326" s="1085"/>
      <c r="K326" s="1085"/>
      <c r="L326" s="1085"/>
      <c r="M326" s="1085"/>
      <c r="N326" s="1085"/>
      <c r="O326" s="1085"/>
      <c r="P326" s="1085"/>
      <c r="Q326" s="1085"/>
      <c r="R326" s="1085"/>
      <c r="S326"/>
      <c r="T326" s="41" t="s">
        <v>374</v>
      </c>
      <c r="U326"/>
      <c r="V326" s="41"/>
      <c r="W326" s="41"/>
      <c r="X326" s="41"/>
      <c r="Y326" s="41"/>
      <c r="Z326"/>
      <c r="AA326" s="1085"/>
      <c r="AB326" s="1085"/>
      <c r="AC326" s="1085"/>
      <c r="AD326" s="1085"/>
      <c r="AE326" s="1085"/>
      <c r="AF326" s="1085"/>
      <c r="AG326" s="1085"/>
      <c r="AH326" s="1085"/>
      <c r="AI326" s="1085"/>
      <c r="AJ326" s="1085"/>
      <c r="AK326" s="1085"/>
      <c r="AL326" s="41"/>
      <c r="AN326" s="279"/>
    </row>
    <row r="327" spans="1:76" s="4" customFormat="1" ht="12.75" customHeight="1">
      <c r="B327" s="41" t="s">
        <v>375</v>
      </c>
      <c r="C327" s="41"/>
      <c r="D327" s="41"/>
      <c r="E327" s="41"/>
      <c r="F327" s="41"/>
      <c r="G327" s="41"/>
      <c r="H327" s="1431"/>
      <c r="I327" s="1431"/>
      <c r="J327" s="1431"/>
      <c r="K327" s="1431"/>
      <c r="L327" s="1431"/>
      <c r="M327" s="1431"/>
      <c r="N327" s="5" t="s">
        <v>818</v>
      </c>
      <c r="O327" s="5"/>
      <c r="P327" s="1435"/>
      <c r="Q327" s="1435"/>
      <c r="R327" s="1435"/>
      <c r="S327" s="41"/>
      <c r="T327" s="41" t="s">
        <v>375</v>
      </c>
      <c r="U327"/>
      <c r="V327" s="41"/>
      <c r="W327" s="41"/>
      <c r="X327" s="41"/>
      <c r="Y327" s="41"/>
      <c r="Z327"/>
      <c r="AA327" s="1431"/>
      <c r="AB327" s="1431"/>
      <c r="AC327" s="1431"/>
      <c r="AD327" s="1431"/>
      <c r="AE327" s="1431"/>
      <c r="AF327" s="1431"/>
      <c r="AG327" s="5" t="s">
        <v>818</v>
      </c>
      <c r="AH327" s="5"/>
      <c r="AI327" s="1435"/>
      <c r="AJ327" s="1435"/>
      <c r="AK327" s="1435"/>
      <c r="AL327" s="41"/>
      <c r="AN327" s="279"/>
    </row>
    <row r="328" spans="1:76" s="4" customFormat="1" ht="12.75" customHeight="1">
      <c r="B328" s="41" t="s">
        <v>88</v>
      </c>
      <c r="C328" s="41"/>
      <c r="D328" s="41"/>
      <c r="E328" s="41"/>
      <c r="F328" s="41"/>
      <c r="G328" s="41"/>
      <c r="H328" s="1085"/>
      <c r="I328" s="1085"/>
      <c r="J328" s="1085"/>
      <c r="K328" s="1085"/>
      <c r="L328" s="1085"/>
      <c r="M328" s="1085"/>
      <c r="N328" s="1085"/>
      <c r="O328" s="1085"/>
      <c r="P328" s="1085"/>
      <c r="Q328" s="1085"/>
      <c r="R328" s="1085"/>
      <c r="S328" s="41"/>
      <c r="T328" s="41" t="s">
        <v>88</v>
      </c>
      <c r="U328"/>
      <c r="V328" s="41"/>
      <c r="W328" s="41"/>
      <c r="X328" s="41"/>
      <c r="Y328" s="41"/>
      <c r="Z328"/>
      <c r="AA328" s="1085"/>
      <c r="AB328" s="1085"/>
      <c r="AC328" s="1085"/>
      <c r="AD328" s="1085"/>
      <c r="AE328" s="1085"/>
      <c r="AF328" s="1085"/>
      <c r="AG328" s="1085"/>
      <c r="AH328" s="1085"/>
      <c r="AI328" s="1085"/>
      <c r="AJ328" s="1085"/>
      <c r="AK328" s="1085"/>
      <c r="AL328" s="41"/>
      <c r="AN328" s="279"/>
    </row>
    <row r="329" spans="1:76" s="4" customFormat="1" ht="12.75" customHeight="1">
      <c r="B329" s="41" t="s">
        <v>90</v>
      </c>
      <c r="C329" s="41"/>
      <c r="D329" s="41"/>
      <c r="E329" s="41"/>
      <c r="F329" s="41"/>
      <c r="G329" s="41"/>
      <c r="H329" s="1085"/>
      <c r="I329" s="1085"/>
      <c r="J329" s="1085"/>
      <c r="K329" s="1085"/>
      <c r="L329" s="1085"/>
      <c r="M329" s="1085"/>
      <c r="N329" s="1085"/>
      <c r="O329" s="1085"/>
      <c r="P329" s="1085"/>
      <c r="Q329" s="1085"/>
      <c r="R329" s="1085"/>
      <c r="S329" s="41"/>
      <c r="T329" s="41" t="s">
        <v>90</v>
      </c>
      <c r="U329"/>
      <c r="V329" s="41"/>
      <c r="W329" s="41"/>
      <c r="X329" s="41"/>
      <c r="Y329" s="41"/>
      <c r="Z329"/>
      <c r="AA329" s="1085"/>
      <c r="AB329" s="1085"/>
      <c r="AC329" s="1085"/>
      <c r="AD329" s="1085"/>
      <c r="AE329" s="1085"/>
      <c r="AF329" s="1085"/>
      <c r="AG329" s="1085"/>
      <c r="AH329" s="1085"/>
      <c r="AI329" s="1085"/>
      <c r="AJ329" s="1085"/>
      <c r="AK329" s="1085"/>
      <c r="AL329" s="41"/>
      <c r="AN329" s="279"/>
    </row>
    <row r="330" spans="1:76" s="4" customFormat="1" ht="12.75" customHeight="1">
      <c r="B330" s="41" t="s">
        <v>101</v>
      </c>
      <c r="C330" s="41"/>
      <c r="D330" s="41"/>
      <c r="E330" s="41"/>
      <c r="F330" s="41"/>
      <c r="G330" s="41"/>
      <c r="H330" s="1678"/>
      <c r="I330" s="1678"/>
      <c r="J330" s="1678"/>
      <c r="K330" s="1678"/>
      <c r="L330" s="1678"/>
      <c r="M330" s="1678"/>
      <c r="N330" s="1678"/>
      <c r="O330" s="1678"/>
      <c r="P330" s="1678"/>
      <c r="Q330" s="1678"/>
      <c r="R330" s="1678"/>
      <c r="S330" s="41"/>
      <c r="T330" s="41" t="s">
        <v>101</v>
      </c>
      <c r="U330" s="41"/>
      <c r="V330" s="41"/>
      <c r="W330" s="41"/>
      <c r="X330" s="41"/>
      <c r="Y330" s="41"/>
      <c r="Z330" s="12"/>
      <c r="AA330" s="1678"/>
      <c r="AB330" s="1678"/>
      <c r="AC330" s="1678"/>
      <c r="AD330" s="1678"/>
      <c r="AE330" s="1678"/>
      <c r="AF330" s="1678"/>
      <c r="AG330" s="1678"/>
      <c r="AH330" s="1678"/>
      <c r="AI330" s="1678"/>
      <c r="AJ330" s="1678"/>
      <c r="AK330" s="1678"/>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19" t="s">
        <v>364</v>
      </c>
      <c r="AF333" s="1719"/>
      <c r="AG333" s="1719"/>
      <c r="AH333" s="1719"/>
      <c r="AI333" s="1719"/>
      <c r="AJ333" s="1719"/>
      <c r="AK333" s="1719"/>
      <c r="AL333" s="3"/>
      <c r="AM333" s="824"/>
      <c r="AN333" s="3"/>
    </row>
    <row r="334" spans="1:76" s="4" customFormat="1" ht="12.75" customHeight="1">
      <c r="A334" s="3"/>
      <c r="B334" s="5"/>
      <c r="C334" s="1720" t="s">
        <v>1827</v>
      </c>
      <c r="D334" s="1720"/>
      <c r="E334" s="1720"/>
      <c r="F334" s="1720"/>
      <c r="G334" s="1720"/>
      <c r="H334" s="1720"/>
      <c r="I334" s="1720"/>
      <c r="J334" s="1720"/>
      <c r="K334" s="1720"/>
      <c r="L334" s="1720"/>
      <c r="M334" s="1720"/>
      <c r="N334" s="1720"/>
      <c r="O334" s="1720"/>
      <c r="P334" s="1720"/>
      <c r="Q334" s="1720"/>
      <c r="R334" s="1720"/>
      <c r="S334" s="1720"/>
      <c r="T334" s="1720"/>
      <c r="U334" s="1720"/>
      <c r="V334" s="1720"/>
      <c r="W334" s="1720"/>
      <c r="X334" s="1720"/>
      <c r="Y334" s="1720"/>
      <c r="Z334" s="1720"/>
      <c r="AA334" s="1720"/>
      <c r="AB334" s="1720"/>
      <c r="AC334" s="1720"/>
      <c r="AD334" s="1720"/>
      <c r="AE334" s="1720"/>
      <c r="AF334" s="1720"/>
      <c r="AG334" s="1720"/>
      <c r="AH334" s="1720"/>
      <c r="AI334" s="1720"/>
      <c r="AJ334" s="1720"/>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20"/>
      <c r="D335" s="1720"/>
      <c r="E335" s="1720"/>
      <c r="F335" s="1720"/>
      <c r="G335" s="1720"/>
      <c r="H335" s="1720"/>
      <c r="I335" s="1720"/>
      <c r="J335" s="1720"/>
      <c r="K335" s="1720"/>
      <c r="L335" s="1720"/>
      <c r="M335" s="1720"/>
      <c r="N335" s="1720"/>
      <c r="O335" s="1720"/>
      <c r="P335" s="1720"/>
      <c r="Q335" s="1720"/>
      <c r="R335" s="1720"/>
      <c r="S335" s="1720"/>
      <c r="T335" s="1720"/>
      <c r="U335" s="1720"/>
      <c r="V335" s="1720"/>
      <c r="W335" s="1720"/>
      <c r="X335" s="1720"/>
      <c r="Y335" s="1720"/>
      <c r="Z335" s="1720"/>
      <c r="AA335" s="1720"/>
      <c r="AB335" s="1720"/>
      <c r="AC335" s="1720"/>
      <c r="AD335" s="1720"/>
      <c r="AE335" s="1720"/>
      <c r="AF335" s="1720"/>
      <c r="AG335" s="1720"/>
      <c r="AH335" s="1720"/>
      <c r="AI335" s="1720"/>
      <c r="AJ335" s="1720"/>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20"/>
      <c r="D336" s="1720"/>
      <c r="E336" s="1720"/>
      <c r="F336" s="1720"/>
      <c r="G336" s="1720"/>
      <c r="H336" s="1720"/>
      <c r="I336" s="1720"/>
      <c r="J336" s="1720"/>
      <c r="K336" s="1720"/>
      <c r="L336" s="1720"/>
      <c r="M336" s="1720"/>
      <c r="N336" s="1720"/>
      <c r="O336" s="1720"/>
      <c r="P336" s="1720"/>
      <c r="Q336" s="1720"/>
      <c r="R336" s="1720"/>
      <c r="S336" s="1720"/>
      <c r="T336" s="1720"/>
      <c r="U336" s="1720"/>
      <c r="V336" s="1720"/>
      <c r="W336" s="1720"/>
      <c r="X336" s="1720"/>
      <c r="Y336" s="1720"/>
      <c r="Z336" s="1720"/>
      <c r="AA336" s="1720"/>
      <c r="AB336" s="1720"/>
      <c r="AC336" s="1720"/>
      <c r="AD336" s="1720"/>
      <c r="AE336" s="1720"/>
      <c r="AF336" s="1720"/>
      <c r="AG336" s="1720"/>
      <c r="AH336" s="1720"/>
      <c r="AI336" s="1720"/>
      <c r="AJ336" s="1720"/>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20"/>
      <c r="D337" s="1720"/>
      <c r="E337" s="1720"/>
      <c r="F337" s="1720"/>
      <c r="G337" s="1720"/>
      <c r="H337" s="1720"/>
      <c r="I337" s="1720"/>
      <c r="J337" s="1720"/>
      <c r="K337" s="1720"/>
      <c r="L337" s="1720"/>
      <c r="M337" s="1720"/>
      <c r="N337" s="1720"/>
      <c r="O337" s="1720"/>
      <c r="P337" s="1720"/>
      <c r="Q337" s="1720"/>
      <c r="R337" s="1720"/>
      <c r="S337" s="1720"/>
      <c r="T337" s="1720"/>
      <c r="U337" s="1720"/>
      <c r="V337" s="1720"/>
      <c r="W337" s="1720"/>
      <c r="X337" s="1720"/>
      <c r="Y337" s="1720"/>
      <c r="Z337" s="1720"/>
      <c r="AA337" s="1720"/>
      <c r="AB337" s="1720"/>
      <c r="AC337" s="1720"/>
      <c r="AD337" s="1720"/>
      <c r="AE337" s="1720"/>
      <c r="AF337" s="1720"/>
      <c r="AG337" s="1720"/>
      <c r="AH337" s="1720"/>
      <c r="AI337" s="1720"/>
      <c r="AJ337" s="1720"/>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20"/>
      <c r="D338" s="1720"/>
      <c r="E338" s="1720"/>
      <c r="F338" s="1720"/>
      <c r="G338" s="1720"/>
      <c r="H338" s="1720"/>
      <c r="I338" s="1720"/>
      <c r="J338" s="1720"/>
      <c r="K338" s="1720"/>
      <c r="L338" s="1720"/>
      <c r="M338" s="1720"/>
      <c r="N338" s="1720"/>
      <c r="O338" s="1720"/>
      <c r="P338" s="1720"/>
      <c r="Q338" s="1720"/>
      <c r="R338" s="1720"/>
      <c r="S338" s="1720"/>
      <c r="T338" s="1720"/>
      <c r="U338" s="1720"/>
      <c r="V338" s="1720"/>
      <c r="W338" s="1720"/>
      <c r="X338" s="1720"/>
      <c r="Y338" s="1720"/>
      <c r="Z338" s="1720"/>
      <c r="AA338" s="1720"/>
      <c r="AB338" s="1720"/>
      <c r="AC338" s="1720"/>
      <c r="AD338" s="1720"/>
      <c r="AE338" s="1720"/>
      <c r="AF338" s="1720"/>
      <c r="AG338" s="1720"/>
      <c r="AH338" s="1720"/>
      <c r="AI338" s="1720"/>
      <c r="AJ338" s="1720"/>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20"/>
      <c r="D339" s="1720"/>
      <c r="E339" s="1720"/>
      <c r="F339" s="1720"/>
      <c r="G339" s="1720"/>
      <c r="H339" s="1720"/>
      <c r="I339" s="1720"/>
      <c r="J339" s="1720"/>
      <c r="K339" s="1720"/>
      <c r="L339" s="1720"/>
      <c r="M339" s="1720"/>
      <c r="N339" s="1720"/>
      <c r="O339" s="1720"/>
      <c r="P339" s="1720"/>
      <c r="Q339" s="1720"/>
      <c r="R339" s="1720"/>
      <c r="S339" s="1720"/>
      <c r="T339" s="1720"/>
      <c r="U339" s="1720"/>
      <c r="V339" s="1720"/>
      <c r="W339" s="1720"/>
      <c r="X339" s="1720"/>
      <c r="Y339" s="1720"/>
      <c r="Z339" s="1720"/>
      <c r="AA339" s="1720"/>
      <c r="AB339" s="1720"/>
      <c r="AC339" s="1720"/>
      <c r="AD339" s="1720"/>
      <c r="AE339" s="1720"/>
      <c r="AF339" s="1720"/>
      <c r="AG339" s="1720"/>
      <c r="AH339" s="1720"/>
      <c r="AI339" s="1720"/>
      <c r="AJ339" s="1720"/>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20"/>
      <c r="D340" s="1720"/>
      <c r="E340" s="1720"/>
      <c r="F340" s="1720"/>
      <c r="G340" s="1720"/>
      <c r="H340" s="1720"/>
      <c r="I340" s="1720"/>
      <c r="J340" s="1720"/>
      <c r="K340" s="1720"/>
      <c r="L340" s="1720"/>
      <c r="M340" s="1720"/>
      <c r="N340" s="1720"/>
      <c r="O340" s="1720"/>
      <c r="P340" s="1720"/>
      <c r="Q340" s="1720"/>
      <c r="R340" s="1720"/>
      <c r="S340" s="1720"/>
      <c r="T340" s="1720"/>
      <c r="U340" s="1720"/>
      <c r="V340" s="1720"/>
      <c r="W340" s="1720"/>
      <c r="X340" s="1720"/>
      <c r="Y340" s="1720"/>
      <c r="Z340" s="1720"/>
      <c r="AA340" s="1720"/>
      <c r="AB340" s="1720"/>
      <c r="AC340" s="1720"/>
      <c r="AD340" s="1720"/>
      <c r="AE340" s="1720"/>
      <c r="AF340" s="1720"/>
      <c r="AG340" s="1720"/>
      <c r="AH340" s="1720"/>
      <c r="AI340" s="1720"/>
      <c r="AJ340" s="1720"/>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20"/>
      <c r="D341" s="1720"/>
      <c r="E341" s="1720"/>
      <c r="F341" s="1720"/>
      <c r="G341" s="1720"/>
      <c r="H341" s="1720"/>
      <c r="I341" s="1720"/>
      <c r="J341" s="1720"/>
      <c r="K341" s="1720"/>
      <c r="L341" s="1720"/>
      <c r="M341" s="1720"/>
      <c r="N341" s="1720"/>
      <c r="O341" s="1720"/>
      <c r="P341" s="1720"/>
      <c r="Q341" s="1720"/>
      <c r="R341" s="1720"/>
      <c r="S341" s="1720"/>
      <c r="T341" s="1720"/>
      <c r="U341" s="1720"/>
      <c r="V341" s="1720"/>
      <c r="W341" s="1720"/>
      <c r="X341" s="1720"/>
      <c r="Y341" s="1720"/>
      <c r="Z341" s="1720"/>
      <c r="AA341" s="1720"/>
      <c r="AB341" s="1720"/>
      <c r="AC341" s="1720"/>
      <c r="AD341" s="1720"/>
      <c r="AE341" s="1720"/>
      <c r="AF341" s="1720"/>
      <c r="AG341" s="1720"/>
      <c r="AH341" s="1720"/>
      <c r="AI341" s="1720"/>
      <c r="AJ341" s="1720"/>
      <c r="AK341" s="27"/>
      <c r="AL341" s="27"/>
      <c r="AM341" s="27"/>
      <c r="AN341" s="279"/>
      <c r="AO341" s="183"/>
    </row>
    <row r="342" spans="1:76" s="4" customFormat="1" ht="12.75" customHeight="1">
      <c r="A342" s="27"/>
      <c r="B342" s="26"/>
      <c r="C342" s="1720" t="s">
        <v>1828</v>
      </c>
      <c r="D342" s="1720"/>
      <c r="E342" s="1720"/>
      <c r="F342" s="1720"/>
      <c r="G342" s="1720"/>
      <c r="H342" s="1720"/>
      <c r="I342" s="1720"/>
      <c r="J342" s="1720"/>
      <c r="K342" s="1720"/>
      <c r="L342" s="1720"/>
      <c r="M342" s="1720"/>
      <c r="N342" s="1720"/>
      <c r="O342" s="1720"/>
      <c r="P342" s="1720"/>
      <c r="Q342" s="1720"/>
      <c r="R342" s="1720"/>
      <c r="S342" s="1720"/>
      <c r="T342" s="1720"/>
      <c r="U342" s="1720"/>
      <c r="V342" s="1720"/>
      <c r="W342" s="1720"/>
      <c r="X342" s="1720"/>
      <c r="Y342" s="1720"/>
      <c r="Z342" s="1720"/>
      <c r="AA342" s="1720"/>
      <c r="AB342" s="1720"/>
      <c r="AC342" s="1720"/>
      <c r="AD342" s="1720"/>
      <c r="AE342" s="1720"/>
      <c r="AF342" s="1720"/>
      <c r="AG342" s="1720"/>
      <c r="AH342" s="1720"/>
      <c r="AI342" s="1720"/>
      <c r="AJ342" s="1720"/>
      <c r="AK342" s="27"/>
      <c r="AL342" s="27"/>
      <c r="AM342" s="27"/>
      <c r="AN342" s="279"/>
    </row>
    <row r="343" spans="1:76" s="4" customFormat="1" ht="12.75" customHeight="1">
      <c r="A343" s="27"/>
      <c r="B343" s="26"/>
      <c r="C343" s="1720"/>
      <c r="D343" s="1720"/>
      <c r="E343" s="1720"/>
      <c r="F343" s="1720"/>
      <c r="G343" s="1720"/>
      <c r="H343" s="1720"/>
      <c r="I343" s="1720"/>
      <c r="J343" s="1720"/>
      <c r="K343" s="1720"/>
      <c r="L343" s="1720"/>
      <c r="M343" s="1720"/>
      <c r="N343" s="1720"/>
      <c r="O343" s="1720"/>
      <c r="P343" s="1720"/>
      <c r="Q343" s="1720"/>
      <c r="R343" s="1720"/>
      <c r="S343" s="1720"/>
      <c r="T343" s="1720"/>
      <c r="U343" s="1720"/>
      <c r="V343" s="1720"/>
      <c r="W343" s="1720"/>
      <c r="X343" s="1720"/>
      <c r="Y343" s="1720"/>
      <c r="Z343" s="1720"/>
      <c r="AA343" s="1720"/>
      <c r="AB343" s="1720"/>
      <c r="AC343" s="1720"/>
      <c r="AD343" s="1720"/>
      <c r="AE343" s="1720"/>
      <c r="AF343" s="1720"/>
      <c r="AG343" s="1720"/>
      <c r="AH343" s="1720"/>
      <c r="AI343" s="1720"/>
      <c r="AJ343" s="1720"/>
      <c r="AK343" s="27"/>
      <c r="AL343" s="27"/>
      <c r="AM343" s="27"/>
      <c r="AN343" s="279"/>
    </row>
    <row r="344" spans="1:76" s="4" customFormat="1" ht="12.75" customHeight="1">
      <c r="A344" s="27"/>
      <c r="B344" s="26"/>
      <c r="C344" s="1720"/>
      <c r="D344" s="1720"/>
      <c r="E344" s="1720"/>
      <c r="F344" s="1720"/>
      <c r="G344" s="1720"/>
      <c r="H344" s="1720"/>
      <c r="I344" s="1720"/>
      <c r="J344" s="1720"/>
      <c r="K344" s="1720"/>
      <c r="L344" s="1720"/>
      <c r="M344" s="1720"/>
      <c r="N344" s="1720"/>
      <c r="O344" s="1720"/>
      <c r="P344" s="1720"/>
      <c r="Q344" s="1720"/>
      <c r="R344" s="1720"/>
      <c r="S344" s="1720"/>
      <c r="T344" s="1720"/>
      <c r="U344" s="1720"/>
      <c r="V344" s="1720"/>
      <c r="W344" s="1720"/>
      <c r="X344" s="1720"/>
      <c r="Y344" s="1720"/>
      <c r="Z344" s="1720"/>
      <c r="AA344" s="1720"/>
      <c r="AB344" s="1720"/>
      <c r="AC344" s="1720"/>
      <c r="AD344" s="1720"/>
      <c r="AE344" s="1720"/>
      <c r="AF344" s="1720"/>
      <c r="AG344" s="1720"/>
      <c r="AH344" s="1720"/>
      <c r="AI344" s="1720"/>
      <c r="AJ344" s="1720"/>
      <c r="AK344" s="27"/>
      <c r="AL344" s="27"/>
      <c r="AM344" s="27"/>
      <c r="AN344" s="279"/>
      <c r="AQ344"/>
    </row>
    <row r="345" spans="1:76" s="4" customFormat="1" ht="12.75" customHeight="1">
      <c r="A345" s="27"/>
      <c r="B345" s="26"/>
      <c r="C345" s="1720"/>
      <c r="D345" s="1720"/>
      <c r="E345" s="1720"/>
      <c r="F345" s="1720"/>
      <c r="G345" s="1720"/>
      <c r="H345" s="1720"/>
      <c r="I345" s="1720"/>
      <c r="J345" s="1720"/>
      <c r="K345" s="1720"/>
      <c r="L345" s="1720"/>
      <c r="M345" s="1720"/>
      <c r="N345" s="1720"/>
      <c r="O345" s="1720"/>
      <c r="P345" s="1720"/>
      <c r="Q345" s="1720"/>
      <c r="R345" s="1720"/>
      <c r="S345" s="1720"/>
      <c r="T345" s="1720"/>
      <c r="U345" s="1720"/>
      <c r="V345" s="1720"/>
      <c r="W345" s="1720"/>
      <c r="X345" s="1720"/>
      <c r="Y345" s="1720"/>
      <c r="Z345" s="1720"/>
      <c r="AA345" s="1720"/>
      <c r="AB345" s="1720"/>
      <c r="AC345" s="1720"/>
      <c r="AD345" s="1720"/>
      <c r="AE345" s="1720"/>
      <c r="AF345" s="1720"/>
      <c r="AG345" s="1720"/>
      <c r="AH345" s="1720"/>
      <c r="AI345" s="1720"/>
      <c r="AJ345" s="1720"/>
      <c r="AK345" s="27"/>
      <c r="AL345" s="27"/>
      <c r="AM345" s="27"/>
      <c r="AN345" s="279"/>
      <c r="AQ345"/>
    </row>
    <row r="346" spans="1:76" s="4" customFormat="1" ht="12.4" customHeight="1">
      <c r="A346" s="27"/>
      <c r="B346" s="26"/>
      <c r="C346" s="1720"/>
      <c r="D346" s="1720"/>
      <c r="E346" s="1720"/>
      <c r="F346" s="1720"/>
      <c r="G346" s="1720"/>
      <c r="H346" s="1720"/>
      <c r="I346" s="1720"/>
      <c r="J346" s="1720"/>
      <c r="K346" s="1720"/>
      <c r="L346" s="1720"/>
      <c r="M346" s="1720"/>
      <c r="N346" s="1720"/>
      <c r="O346" s="1720"/>
      <c r="P346" s="1720"/>
      <c r="Q346" s="1720"/>
      <c r="R346" s="1720"/>
      <c r="S346" s="1720"/>
      <c r="T346" s="1720"/>
      <c r="U346" s="1720"/>
      <c r="V346" s="1720"/>
      <c r="W346" s="1720"/>
      <c r="X346" s="1720"/>
      <c r="Y346" s="1720"/>
      <c r="Z346" s="1720"/>
      <c r="AA346" s="1720"/>
      <c r="AB346" s="1720"/>
      <c r="AC346" s="1720"/>
      <c r="AD346" s="1720"/>
      <c r="AE346" s="1720"/>
      <c r="AF346" s="1720"/>
      <c r="AG346" s="1720"/>
      <c r="AH346" s="1720"/>
      <c r="AI346" s="1720"/>
      <c r="AJ346" s="1720"/>
      <c r="AK346" s="27"/>
      <c r="AL346" s="27"/>
      <c r="AM346" s="27"/>
      <c r="AN346" s="279"/>
      <c r="AQ346"/>
      <c r="AR346"/>
    </row>
    <row r="347" spans="1:76" s="4" customFormat="1" ht="12.75" customHeight="1">
      <c r="A347" s="27"/>
      <c r="B347" s="26"/>
      <c r="C347" s="1720" t="s">
        <v>2276</v>
      </c>
      <c r="D347" s="1720"/>
      <c r="E347" s="1720"/>
      <c r="F347" s="1720"/>
      <c r="G347" s="1720"/>
      <c r="H347" s="1720"/>
      <c r="I347" s="1720"/>
      <c r="J347" s="1720"/>
      <c r="K347" s="1720"/>
      <c r="L347" s="1720"/>
      <c r="M347" s="1720"/>
      <c r="N347" s="1720"/>
      <c r="O347" s="1720"/>
      <c r="P347" s="1720"/>
      <c r="Q347" s="1720"/>
      <c r="R347" s="1720"/>
      <c r="S347" s="1720"/>
      <c r="T347" s="1720"/>
      <c r="U347" s="1720"/>
      <c r="V347" s="1720"/>
      <c r="W347" s="1720"/>
      <c r="X347" s="1720"/>
      <c r="Y347" s="1720"/>
      <c r="Z347" s="1720"/>
      <c r="AA347" s="1720"/>
      <c r="AB347" s="1720"/>
      <c r="AC347" s="1720"/>
      <c r="AD347" s="1720"/>
      <c r="AE347" s="1720"/>
      <c r="AF347" s="1720"/>
      <c r="AG347" s="1720"/>
      <c r="AH347" s="1720"/>
      <c r="AI347" s="1720"/>
      <c r="AJ347" s="1720"/>
      <c r="AK347" s="27"/>
      <c r="AL347" s="27"/>
      <c r="AM347" s="27"/>
      <c r="AN347" s="279"/>
      <c r="AQ347"/>
      <c r="AR347"/>
    </row>
    <row r="348" spans="1:76" s="4" customFormat="1" ht="12.75" customHeight="1">
      <c r="A348" s="27"/>
      <c r="B348" s="26"/>
      <c r="C348" s="1720"/>
      <c r="D348" s="1720"/>
      <c r="E348" s="1720"/>
      <c r="F348" s="1720"/>
      <c r="G348" s="1720"/>
      <c r="H348" s="1720"/>
      <c r="I348" s="1720"/>
      <c r="J348" s="1720"/>
      <c r="K348" s="1720"/>
      <c r="L348" s="1720"/>
      <c r="M348" s="1720"/>
      <c r="N348" s="1720"/>
      <c r="O348" s="1720"/>
      <c r="P348" s="1720"/>
      <c r="Q348" s="1720"/>
      <c r="R348" s="1720"/>
      <c r="S348" s="1720"/>
      <c r="T348" s="1720"/>
      <c r="U348" s="1720"/>
      <c r="V348" s="1720"/>
      <c r="W348" s="1720"/>
      <c r="X348" s="1720"/>
      <c r="Y348" s="1720"/>
      <c r="Z348" s="1720"/>
      <c r="AA348" s="1720"/>
      <c r="AB348" s="1720"/>
      <c r="AC348" s="1720"/>
      <c r="AD348" s="1720"/>
      <c r="AE348" s="1720"/>
      <c r="AF348" s="1720"/>
      <c r="AG348" s="1720"/>
      <c r="AH348" s="1720"/>
      <c r="AI348" s="1720"/>
      <c r="AJ348" s="1720"/>
      <c r="AK348" s="27"/>
      <c r="AL348" s="27"/>
      <c r="AM348" s="27"/>
      <c r="AN348" s="279"/>
      <c r="AR348"/>
    </row>
    <row r="349" spans="1:76" s="4" customFormat="1" ht="12.75" customHeight="1">
      <c r="A349" s="27"/>
      <c r="B349" s="26"/>
      <c r="C349" s="1720"/>
      <c r="D349" s="1720"/>
      <c r="E349" s="1720"/>
      <c r="F349" s="1720"/>
      <c r="G349" s="1720"/>
      <c r="H349" s="1720"/>
      <c r="I349" s="1720"/>
      <c r="J349" s="1720"/>
      <c r="K349" s="1720"/>
      <c r="L349" s="1720"/>
      <c r="M349" s="1720"/>
      <c r="N349" s="1720"/>
      <c r="O349" s="1720"/>
      <c r="P349" s="1720"/>
      <c r="Q349" s="1720"/>
      <c r="R349" s="1720"/>
      <c r="S349" s="1720"/>
      <c r="T349" s="1720"/>
      <c r="U349" s="1720"/>
      <c r="V349" s="1720"/>
      <c r="W349" s="1720"/>
      <c r="X349" s="1720"/>
      <c r="Y349" s="1720"/>
      <c r="Z349" s="1720"/>
      <c r="AA349" s="1720"/>
      <c r="AB349" s="1720"/>
      <c r="AC349" s="1720"/>
      <c r="AD349" s="1720"/>
      <c r="AE349" s="1720"/>
      <c r="AF349" s="1720"/>
      <c r="AG349" s="1720"/>
      <c r="AH349" s="1720"/>
      <c r="AI349" s="1720"/>
      <c r="AJ349" s="1720"/>
      <c r="AK349" s="27"/>
      <c r="AL349" s="27"/>
      <c r="AM349" s="27"/>
      <c r="AN349" s="279"/>
      <c r="AR349"/>
    </row>
    <row r="350" spans="1:76" s="4" customFormat="1" ht="12.75" customHeight="1">
      <c r="A350" s="27"/>
      <c r="B350" s="26"/>
      <c r="C350" s="1720" t="s">
        <v>1829</v>
      </c>
      <c r="D350" s="1720"/>
      <c r="E350" s="1720"/>
      <c r="F350" s="1720"/>
      <c r="G350" s="1720"/>
      <c r="H350" s="1720"/>
      <c r="I350" s="1720"/>
      <c r="J350" s="1720"/>
      <c r="K350" s="1720"/>
      <c r="L350" s="1720"/>
      <c r="M350" s="1720"/>
      <c r="N350" s="1720"/>
      <c r="O350" s="1720"/>
      <c r="P350" s="1720"/>
      <c r="Q350" s="1720"/>
      <c r="R350" s="1720"/>
      <c r="S350" s="1720"/>
      <c r="T350" s="1720"/>
      <c r="U350" s="1720"/>
      <c r="V350" s="1720"/>
      <c r="W350" s="1720"/>
      <c r="X350" s="1720"/>
      <c r="Y350" s="1720"/>
      <c r="Z350" s="1720"/>
      <c r="AA350" s="1720"/>
      <c r="AB350" s="1720"/>
      <c r="AC350" s="1720"/>
      <c r="AD350" s="1720"/>
      <c r="AE350" s="1720"/>
      <c r="AF350" s="1720"/>
      <c r="AG350" s="1720"/>
      <c r="AH350" s="1720"/>
      <c r="AI350" s="1720"/>
      <c r="AJ350" s="1720"/>
      <c r="AK350" s="27"/>
      <c r="AL350" s="27"/>
      <c r="AM350" s="27"/>
      <c r="AN350" s="279"/>
      <c r="AQ350"/>
      <c r="AR350"/>
    </row>
    <row r="351" spans="1:76" s="4" customFormat="1" ht="12.75" customHeight="1">
      <c r="A351" s="27"/>
      <c r="B351" s="26"/>
      <c r="C351" s="1720"/>
      <c r="D351" s="1720"/>
      <c r="E351" s="1720"/>
      <c r="F351" s="1720"/>
      <c r="G351" s="1720"/>
      <c r="H351" s="1720"/>
      <c r="I351" s="1720"/>
      <c r="J351" s="1720"/>
      <c r="K351" s="1720"/>
      <c r="L351" s="1720"/>
      <c r="M351" s="1720"/>
      <c r="N351" s="1720"/>
      <c r="O351" s="1720"/>
      <c r="P351" s="1720"/>
      <c r="Q351" s="1720"/>
      <c r="R351" s="1720"/>
      <c r="S351" s="1720"/>
      <c r="T351" s="1720"/>
      <c r="U351" s="1720"/>
      <c r="V351" s="1720"/>
      <c r="W351" s="1720"/>
      <c r="X351" s="1720"/>
      <c r="Y351" s="1720"/>
      <c r="Z351" s="1720"/>
      <c r="AA351" s="1720"/>
      <c r="AB351" s="1720"/>
      <c r="AC351" s="1720"/>
      <c r="AD351" s="1720"/>
      <c r="AE351" s="1720"/>
      <c r="AF351" s="1720"/>
      <c r="AG351" s="1720"/>
      <c r="AH351" s="1720"/>
      <c r="AI351" s="1720"/>
      <c r="AJ351" s="1720"/>
      <c r="AK351" s="27"/>
      <c r="AL351" s="27"/>
      <c r="AM351" s="27"/>
      <c r="AN351" s="279"/>
      <c r="AQ351"/>
      <c r="AR351"/>
    </row>
    <row r="352" spans="1:76" s="4" customFormat="1" ht="13.15" customHeight="1">
      <c r="A352" s="27"/>
      <c r="B352" s="26"/>
      <c r="C352" s="1720"/>
      <c r="D352" s="1720"/>
      <c r="E352" s="1720"/>
      <c r="F352" s="1720"/>
      <c r="G352" s="1720"/>
      <c r="H352" s="1720"/>
      <c r="I352" s="1720"/>
      <c r="J352" s="1720"/>
      <c r="K352" s="1720"/>
      <c r="L352" s="1720"/>
      <c r="M352" s="1720"/>
      <c r="N352" s="1720"/>
      <c r="O352" s="1720"/>
      <c r="P352" s="1720"/>
      <c r="Q352" s="1720"/>
      <c r="R352" s="1720"/>
      <c r="S352" s="1720"/>
      <c r="T352" s="1720"/>
      <c r="U352" s="1720"/>
      <c r="V352" s="1720"/>
      <c r="W352" s="1720"/>
      <c r="X352" s="1720"/>
      <c r="Y352" s="1720"/>
      <c r="Z352" s="1720"/>
      <c r="AA352" s="1720"/>
      <c r="AB352" s="1720"/>
      <c r="AC352" s="1720"/>
      <c r="AD352" s="1720"/>
      <c r="AE352" s="1720"/>
      <c r="AF352" s="1720"/>
      <c r="AG352" s="1720"/>
      <c r="AH352" s="1720"/>
      <c r="AI352" s="1720"/>
      <c r="AJ352" s="1720"/>
      <c r="AK352" s="27"/>
      <c r="AL352" s="27"/>
      <c r="AM352" s="27"/>
      <c r="AN352" s="279"/>
      <c r="AQ352"/>
      <c r="AR352"/>
    </row>
    <row r="353" spans="1:46" s="4" customFormat="1" ht="12.75" customHeight="1">
      <c r="A353" s="27"/>
      <c r="B353" s="26"/>
      <c r="C353" s="1720"/>
      <c r="D353" s="1720"/>
      <c r="E353" s="1720"/>
      <c r="F353" s="1720"/>
      <c r="G353" s="1720"/>
      <c r="H353" s="1720"/>
      <c r="I353" s="1720"/>
      <c r="J353" s="1720"/>
      <c r="K353" s="1720"/>
      <c r="L353" s="1720"/>
      <c r="M353" s="1720"/>
      <c r="N353" s="1720"/>
      <c r="O353" s="1720"/>
      <c r="P353" s="1720"/>
      <c r="Q353" s="1720"/>
      <c r="R353" s="1720"/>
      <c r="S353" s="1720"/>
      <c r="T353" s="1720"/>
      <c r="U353" s="1720"/>
      <c r="V353" s="1720"/>
      <c r="W353" s="1720"/>
      <c r="X353" s="1720"/>
      <c r="Y353" s="1720"/>
      <c r="Z353" s="1720"/>
      <c r="AA353" s="1720"/>
      <c r="AB353" s="1720"/>
      <c r="AC353" s="1720"/>
      <c r="AD353" s="1720"/>
      <c r="AE353" s="1720"/>
      <c r="AF353" s="1720"/>
      <c r="AG353" s="1720"/>
      <c r="AH353" s="1720"/>
      <c r="AI353" s="1720"/>
      <c r="AJ353" s="1720"/>
      <c r="AK353" s="27"/>
      <c r="AL353" s="27"/>
      <c r="AM353" s="27"/>
      <c r="AN353" s="279"/>
      <c r="AO353" s="168"/>
      <c r="AP353" s="168"/>
      <c r="AQ353"/>
    </row>
    <row r="354" spans="1:46" s="4" customFormat="1" ht="11.85" customHeight="1">
      <c r="A354" s="27"/>
      <c r="B354" s="26"/>
      <c r="C354" s="1720"/>
      <c r="D354" s="1720"/>
      <c r="E354" s="1720"/>
      <c r="F354" s="1720"/>
      <c r="G354" s="1720"/>
      <c r="H354" s="1720"/>
      <c r="I354" s="1720"/>
      <c r="J354" s="1720"/>
      <c r="K354" s="1720"/>
      <c r="L354" s="1720"/>
      <c r="M354" s="1720"/>
      <c r="N354" s="1720"/>
      <c r="O354" s="1720"/>
      <c r="P354" s="1720"/>
      <c r="Q354" s="1720"/>
      <c r="R354" s="1720"/>
      <c r="S354" s="1720"/>
      <c r="T354" s="1720"/>
      <c r="U354" s="1720"/>
      <c r="V354" s="1720"/>
      <c r="W354" s="1720"/>
      <c r="X354" s="1720"/>
      <c r="Y354" s="1720"/>
      <c r="Z354" s="1720"/>
      <c r="AA354" s="1720"/>
      <c r="AB354" s="1720"/>
      <c r="AC354" s="1720"/>
      <c r="AD354" s="1720"/>
      <c r="AE354" s="1720"/>
      <c r="AF354" s="1720"/>
      <c r="AG354" s="1720"/>
      <c r="AH354" s="1720"/>
      <c r="AI354" s="1720"/>
      <c r="AJ354" s="1720"/>
      <c r="AK354" s="27"/>
      <c r="AL354" s="27"/>
      <c r="AM354" s="27"/>
      <c r="AN354" s="279"/>
      <c r="AO354" s="685" t="s">
        <v>900</v>
      </c>
      <c r="AP354" s="71">
        <f>IF(C379="Yes",5,0)</f>
        <v>0</v>
      </c>
      <c r="AS354" s="3" t="s">
        <v>1765</v>
      </c>
    </row>
    <row r="355" spans="1:46" s="4" customFormat="1" ht="12.75" customHeight="1">
      <c r="A355" s="27"/>
      <c r="B355" s="26"/>
      <c r="C355" s="1720"/>
      <c r="D355" s="1720"/>
      <c r="E355" s="1720"/>
      <c r="F355" s="1720"/>
      <c r="G355" s="1720"/>
      <c r="H355" s="1720"/>
      <c r="I355" s="1720"/>
      <c r="J355" s="1720"/>
      <c r="K355" s="1720"/>
      <c r="L355" s="1720"/>
      <c r="M355" s="1720"/>
      <c r="N355" s="1720"/>
      <c r="O355" s="1720"/>
      <c r="P355" s="1720"/>
      <c r="Q355" s="1720"/>
      <c r="R355" s="1720"/>
      <c r="S355" s="1720"/>
      <c r="T355" s="1720"/>
      <c r="U355" s="1720"/>
      <c r="V355" s="1720"/>
      <c r="W355" s="1720"/>
      <c r="X355" s="1720"/>
      <c r="Y355" s="1720"/>
      <c r="Z355" s="1720"/>
      <c r="AA355" s="1720"/>
      <c r="AB355" s="1720"/>
      <c r="AC355" s="1720"/>
      <c r="AD355" s="1720"/>
      <c r="AE355" s="1720"/>
      <c r="AF355" s="1720"/>
      <c r="AG355" s="1720"/>
      <c r="AH355" s="1720"/>
      <c r="AI355" s="1720"/>
      <c r="AJ355" s="1720"/>
      <c r="AK355" s="27"/>
      <c r="AL355" s="27"/>
      <c r="AM355" s="27"/>
      <c r="AN355" s="279"/>
      <c r="AO355" s="685"/>
      <c r="AP355" s="71"/>
      <c r="AS355" s="1749">
        <f>IF(AQ368=0,AQ381,AQ368)</f>
        <v>10</v>
      </c>
      <c r="AT355" s="1749"/>
    </row>
    <row r="356" spans="1:46" s="4" customFormat="1" ht="12.75" customHeight="1">
      <c r="A356" s="27"/>
      <c r="B356" s="26"/>
      <c r="C356" s="1720"/>
      <c r="D356" s="1720"/>
      <c r="E356" s="1720"/>
      <c r="F356" s="1720"/>
      <c r="G356" s="1720"/>
      <c r="H356" s="1720"/>
      <c r="I356" s="1720"/>
      <c r="J356" s="1720"/>
      <c r="K356" s="1720"/>
      <c r="L356" s="1720"/>
      <c r="M356" s="1720"/>
      <c r="N356" s="1720"/>
      <c r="O356" s="1720"/>
      <c r="P356" s="1720"/>
      <c r="Q356" s="1720"/>
      <c r="R356" s="1720"/>
      <c r="S356" s="1720"/>
      <c r="T356" s="1720"/>
      <c r="U356" s="1720"/>
      <c r="V356" s="1720"/>
      <c r="W356" s="1720"/>
      <c r="X356" s="1720"/>
      <c r="Y356" s="1720"/>
      <c r="Z356" s="1720"/>
      <c r="AA356" s="1720"/>
      <c r="AB356" s="1720"/>
      <c r="AC356" s="1720"/>
      <c r="AD356" s="1720"/>
      <c r="AE356" s="1720"/>
      <c r="AF356" s="1720"/>
      <c r="AG356" s="1720"/>
      <c r="AH356" s="1720"/>
      <c r="AI356" s="1720"/>
      <c r="AJ356" s="1720"/>
      <c r="AK356" s="27"/>
      <c r="AL356" s="27"/>
      <c r="AM356" s="27"/>
      <c r="AN356" s="279"/>
      <c r="AO356" s="685" t="s">
        <v>901</v>
      </c>
      <c r="AP356" s="71">
        <f>IF(C389="Yes",5,0)</f>
        <v>0</v>
      </c>
      <c r="AS356" s="3" t="s">
        <v>1798</v>
      </c>
    </row>
    <row r="357" spans="1:46" s="4" customFormat="1" ht="12.75" customHeight="1">
      <c r="A357" s="27"/>
      <c r="B357" s="26"/>
      <c r="C357" s="1720"/>
      <c r="D357" s="1720"/>
      <c r="E357" s="1720"/>
      <c r="F357" s="1720"/>
      <c r="G357" s="1720"/>
      <c r="H357" s="1720"/>
      <c r="I357" s="1720"/>
      <c r="J357" s="1720"/>
      <c r="K357" s="1720"/>
      <c r="L357" s="1720"/>
      <c r="M357" s="1720"/>
      <c r="N357" s="1720"/>
      <c r="O357" s="1720"/>
      <c r="P357" s="1720"/>
      <c r="Q357" s="1720"/>
      <c r="R357" s="1720"/>
      <c r="S357" s="1720"/>
      <c r="T357" s="1720"/>
      <c r="U357" s="1720"/>
      <c r="V357" s="1720"/>
      <c r="W357" s="1720"/>
      <c r="X357" s="1720"/>
      <c r="Y357" s="1720"/>
      <c r="Z357" s="1720"/>
      <c r="AA357" s="1720"/>
      <c r="AB357" s="1720"/>
      <c r="AC357" s="1720"/>
      <c r="AD357" s="1720"/>
      <c r="AE357" s="1720"/>
      <c r="AF357" s="1720"/>
      <c r="AG357" s="1720"/>
      <c r="AH357" s="1720"/>
      <c r="AI357" s="1720"/>
      <c r="AJ357" s="1720"/>
      <c r="AK357" s="27"/>
      <c r="AL357" s="27"/>
      <c r="AM357" s="27"/>
      <c r="AN357" s="279"/>
      <c r="AO357" s="685"/>
      <c r="AP357" s="71"/>
      <c r="AS357" s="1749">
        <f>IF(AND(AQ368&gt;0,AQ381&gt;0),(AQ368+AQ381)/2,0)</f>
        <v>10</v>
      </c>
      <c r="AT357" s="1749"/>
    </row>
    <row r="358" spans="1:46" s="4" customFormat="1" ht="12.75" customHeight="1">
      <c r="A358" s="27"/>
      <c r="B358" s="26"/>
      <c r="C358" s="1720"/>
      <c r="D358" s="1720"/>
      <c r="E358" s="1720"/>
      <c r="F358" s="1720"/>
      <c r="G358" s="1720"/>
      <c r="H358" s="1720"/>
      <c r="I358" s="1720"/>
      <c r="J358" s="1720"/>
      <c r="K358" s="1720"/>
      <c r="L358" s="1720"/>
      <c r="M358" s="1720"/>
      <c r="N358" s="1720"/>
      <c r="O358" s="1720"/>
      <c r="P358" s="1720"/>
      <c r="Q358" s="1720"/>
      <c r="R358" s="1720"/>
      <c r="S358" s="1720"/>
      <c r="T358" s="1720"/>
      <c r="U358" s="1720"/>
      <c r="V358" s="1720"/>
      <c r="W358" s="1720"/>
      <c r="X358" s="1720"/>
      <c r="Y358" s="1720"/>
      <c r="Z358" s="1720"/>
      <c r="AA358" s="1720"/>
      <c r="AB358" s="1720"/>
      <c r="AC358" s="1720"/>
      <c r="AD358" s="1720"/>
      <c r="AE358" s="1720"/>
      <c r="AF358" s="1720"/>
      <c r="AG358" s="1720"/>
      <c r="AH358" s="1720"/>
      <c r="AI358" s="1720"/>
      <c r="AJ358" s="1720"/>
      <c r="AK358" s="27"/>
      <c r="AL358" s="27"/>
      <c r="AM358" s="27"/>
      <c r="AN358" s="279"/>
      <c r="AO358" s="685" t="s">
        <v>907</v>
      </c>
      <c r="AP358" s="71">
        <f>IF(C399="Yes",7,0)</f>
        <v>7</v>
      </c>
    </row>
    <row r="359" spans="1:46" s="4" customFormat="1" ht="12.75" customHeight="1">
      <c r="A359" s="27"/>
      <c r="B359" s="26"/>
      <c r="C359" s="1720" t="s">
        <v>1830</v>
      </c>
      <c r="D359" s="1720"/>
      <c r="E359" s="1720"/>
      <c r="F359" s="1720"/>
      <c r="G359" s="1720"/>
      <c r="H359" s="1720"/>
      <c r="I359" s="1720"/>
      <c r="J359" s="1720"/>
      <c r="K359" s="1720"/>
      <c r="L359" s="1720"/>
      <c r="M359" s="1720"/>
      <c r="N359" s="1720"/>
      <c r="O359" s="1720"/>
      <c r="P359" s="1720"/>
      <c r="Q359" s="1720"/>
      <c r="R359" s="1720"/>
      <c r="S359" s="1720"/>
      <c r="T359" s="1720"/>
      <c r="U359" s="1720"/>
      <c r="V359" s="1720"/>
      <c r="W359" s="1720"/>
      <c r="X359" s="1720"/>
      <c r="Y359" s="1720"/>
      <c r="Z359" s="1720"/>
      <c r="AA359" s="1720"/>
      <c r="AB359" s="1720"/>
      <c r="AC359" s="1720"/>
      <c r="AD359" s="1720"/>
      <c r="AE359" s="1720"/>
      <c r="AF359" s="1720"/>
      <c r="AG359" s="1720"/>
      <c r="AH359" s="1720"/>
      <c r="AI359" s="1720"/>
      <c r="AJ359" s="1720"/>
      <c r="AK359" s="27"/>
      <c r="AL359" s="27"/>
      <c r="AM359" s="27"/>
      <c r="AN359" s="279"/>
      <c r="AO359" s="279"/>
      <c r="AP359" s="71">
        <f>IF(C401="Yes",5,0)</f>
        <v>0</v>
      </c>
    </row>
    <row r="360" spans="1:46" s="4" customFormat="1" ht="12.75" customHeight="1">
      <c r="A360" s="27"/>
      <c r="B360" s="26"/>
      <c r="C360" s="1720"/>
      <c r="D360" s="1720"/>
      <c r="E360" s="1720"/>
      <c r="F360" s="1720"/>
      <c r="G360" s="1720"/>
      <c r="H360" s="1720"/>
      <c r="I360" s="1720"/>
      <c r="J360" s="1720"/>
      <c r="K360" s="1720"/>
      <c r="L360" s="1720"/>
      <c r="M360" s="1720"/>
      <c r="N360" s="1720"/>
      <c r="O360" s="1720"/>
      <c r="P360" s="1720"/>
      <c r="Q360" s="1720"/>
      <c r="R360" s="1720"/>
      <c r="S360" s="1720"/>
      <c r="T360" s="1720"/>
      <c r="U360" s="1720"/>
      <c r="V360" s="1720"/>
      <c r="W360" s="1720"/>
      <c r="X360" s="1720"/>
      <c r="Y360" s="1720"/>
      <c r="Z360" s="1720"/>
      <c r="AA360" s="1720"/>
      <c r="AB360" s="1720"/>
      <c r="AC360" s="1720"/>
      <c r="AD360" s="1720"/>
      <c r="AE360" s="1720"/>
      <c r="AF360" s="1720"/>
      <c r="AG360" s="1720"/>
      <c r="AH360" s="1720"/>
      <c r="AI360" s="1720"/>
      <c r="AJ360" s="1720"/>
      <c r="AK360" s="27"/>
      <c r="AL360" s="27"/>
      <c r="AM360" s="27"/>
      <c r="AN360" s="279"/>
      <c r="AO360" s="279"/>
      <c r="AP360" s="71"/>
    </row>
    <row r="361" spans="1:46" s="4" customFormat="1" ht="12.75" customHeight="1">
      <c r="A361" s="27"/>
      <c r="B361" s="26"/>
      <c r="C361" s="1720"/>
      <c r="D361" s="1720"/>
      <c r="E361" s="1720"/>
      <c r="F361" s="1720"/>
      <c r="G361" s="1720"/>
      <c r="H361" s="1720"/>
      <c r="I361" s="1720"/>
      <c r="J361" s="1720"/>
      <c r="K361" s="1720"/>
      <c r="L361" s="1720"/>
      <c r="M361" s="1720"/>
      <c r="N361" s="1720"/>
      <c r="O361" s="1720"/>
      <c r="P361" s="1720"/>
      <c r="Q361" s="1720"/>
      <c r="R361" s="1720"/>
      <c r="S361" s="1720"/>
      <c r="T361" s="1720"/>
      <c r="U361" s="1720"/>
      <c r="V361" s="1720"/>
      <c r="W361" s="1720"/>
      <c r="X361" s="1720"/>
      <c r="Y361" s="1720"/>
      <c r="Z361" s="1720"/>
      <c r="AA361" s="1720"/>
      <c r="AB361" s="1720"/>
      <c r="AC361" s="1720"/>
      <c r="AD361" s="1720"/>
      <c r="AE361" s="1720"/>
      <c r="AF361" s="1720"/>
      <c r="AG361" s="1720"/>
      <c r="AH361" s="1720"/>
      <c r="AI361" s="1720"/>
      <c r="AJ361" s="1720"/>
      <c r="AK361" s="27"/>
      <c r="AL361" s="27"/>
      <c r="AM361" s="27"/>
      <c r="AN361" s="279"/>
      <c r="AO361" s="685" t="s">
        <v>431</v>
      </c>
      <c r="AP361" s="71">
        <f>IF(C409="Yes",5,0)</f>
        <v>0</v>
      </c>
    </row>
    <row r="362" spans="1:46" s="4" customFormat="1" ht="11.85" customHeight="1">
      <c r="A362" s="27"/>
      <c r="B362" s="26"/>
      <c r="C362" s="1720"/>
      <c r="D362" s="1720"/>
      <c r="E362" s="1720"/>
      <c r="F362" s="1720"/>
      <c r="G362" s="1720"/>
      <c r="H362" s="1720"/>
      <c r="I362" s="1720"/>
      <c r="J362" s="1720"/>
      <c r="K362" s="1720"/>
      <c r="L362" s="1720"/>
      <c r="M362" s="1720"/>
      <c r="N362" s="1720"/>
      <c r="O362" s="1720"/>
      <c r="P362" s="1720"/>
      <c r="Q362" s="1720"/>
      <c r="R362" s="1720"/>
      <c r="S362" s="1720"/>
      <c r="T362" s="1720"/>
      <c r="U362" s="1720"/>
      <c r="V362" s="1720"/>
      <c r="W362" s="1720"/>
      <c r="X362" s="1720"/>
      <c r="Y362" s="1720"/>
      <c r="Z362" s="1720"/>
      <c r="AA362" s="1720"/>
      <c r="AB362" s="1720"/>
      <c r="AC362" s="1720"/>
      <c r="AD362" s="1720"/>
      <c r="AE362" s="1720"/>
      <c r="AF362" s="1720"/>
      <c r="AG362" s="1720"/>
      <c r="AH362" s="1720"/>
      <c r="AI362" s="1720"/>
      <c r="AJ362" s="1720"/>
      <c r="AK362" s="27"/>
      <c r="AL362" s="27"/>
      <c r="AM362" s="27"/>
      <c r="AN362" s="279"/>
      <c r="AO362" s="279"/>
      <c r="AP362" s="71">
        <f>IF(C411="Yes",3,0)</f>
        <v>3</v>
      </c>
    </row>
    <row r="363" spans="1:46" s="4" customFormat="1" ht="12.4" customHeight="1">
      <c r="A363" s="27"/>
      <c r="B363" s="26"/>
      <c r="C363" s="1720"/>
      <c r="D363" s="1720"/>
      <c r="E363" s="1720"/>
      <c r="F363" s="1720"/>
      <c r="G363" s="1720"/>
      <c r="H363" s="1720"/>
      <c r="I363" s="1720"/>
      <c r="J363" s="1720"/>
      <c r="K363" s="1720"/>
      <c r="L363" s="1720"/>
      <c r="M363" s="1720"/>
      <c r="N363" s="1720"/>
      <c r="O363" s="1720"/>
      <c r="P363" s="1720"/>
      <c r="Q363" s="1720"/>
      <c r="R363" s="1720"/>
      <c r="S363" s="1720"/>
      <c r="T363" s="1720"/>
      <c r="U363" s="1720"/>
      <c r="V363" s="1720"/>
      <c r="W363" s="1720"/>
      <c r="X363" s="1720"/>
      <c r="Y363" s="1720"/>
      <c r="Z363" s="1720"/>
      <c r="AA363" s="1720"/>
      <c r="AB363" s="1720"/>
      <c r="AC363" s="1720"/>
      <c r="AD363" s="1720"/>
      <c r="AE363" s="1720"/>
      <c r="AF363" s="1720"/>
      <c r="AG363" s="1720"/>
      <c r="AH363" s="1720"/>
      <c r="AI363" s="1720"/>
      <c r="AJ363" s="1720"/>
      <c r="AK363" s="27"/>
      <c r="AL363" s="27"/>
      <c r="AM363" s="27"/>
      <c r="AN363" s="279"/>
      <c r="AO363" s="279"/>
      <c r="AP363" s="71"/>
    </row>
    <row r="364" spans="1:46" s="4" customFormat="1" ht="12.75" customHeight="1">
      <c r="A364" s="27"/>
      <c r="B364" s="26"/>
      <c r="C364" s="1720"/>
      <c r="D364" s="1720"/>
      <c r="E364" s="1720"/>
      <c r="F364" s="1720"/>
      <c r="G364" s="1720"/>
      <c r="H364" s="1720"/>
      <c r="I364" s="1720"/>
      <c r="J364" s="1720"/>
      <c r="K364" s="1720"/>
      <c r="L364" s="1720"/>
      <c r="M364" s="1720"/>
      <c r="N364" s="1720"/>
      <c r="O364" s="1720"/>
      <c r="P364" s="1720"/>
      <c r="Q364" s="1720"/>
      <c r="R364" s="1720"/>
      <c r="S364" s="1720"/>
      <c r="T364" s="1720"/>
      <c r="U364" s="1720"/>
      <c r="V364" s="1720"/>
      <c r="W364" s="1720"/>
      <c r="X364" s="1720"/>
      <c r="Y364" s="1720"/>
      <c r="Z364" s="1720"/>
      <c r="AA364" s="1720"/>
      <c r="AB364" s="1720"/>
      <c r="AC364" s="1720"/>
      <c r="AD364" s="1720"/>
      <c r="AE364" s="1720"/>
      <c r="AF364" s="1720"/>
      <c r="AG364" s="1720"/>
      <c r="AH364" s="1720"/>
      <c r="AI364" s="1720"/>
      <c r="AJ364" s="1720"/>
      <c r="AK364" s="27"/>
      <c r="AL364" s="27"/>
      <c r="AM364" s="27"/>
      <c r="AN364" s="279"/>
      <c r="AO364" s="685" t="s">
        <v>171</v>
      </c>
      <c r="AP364" s="71">
        <f>IF(C414="Yes",5,0)</f>
        <v>0</v>
      </c>
    </row>
    <row r="365" spans="1:46" s="4" customFormat="1" ht="12.75" customHeight="1">
      <c r="A365" s="27"/>
      <c r="B365" s="26"/>
      <c r="C365" s="1720"/>
      <c r="D365" s="1720"/>
      <c r="E365" s="1720"/>
      <c r="F365" s="1720"/>
      <c r="G365" s="1720"/>
      <c r="H365" s="1720"/>
      <c r="I365" s="1720"/>
      <c r="J365" s="1720"/>
      <c r="K365" s="1720"/>
      <c r="L365" s="1720"/>
      <c r="M365" s="1720"/>
      <c r="N365" s="1720"/>
      <c r="O365" s="1720"/>
      <c r="P365" s="1720"/>
      <c r="Q365" s="1720"/>
      <c r="R365" s="1720"/>
      <c r="S365" s="1720"/>
      <c r="T365" s="1720"/>
      <c r="U365" s="1720"/>
      <c r="V365" s="1720"/>
      <c r="W365" s="1720"/>
      <c r="X365" s="1720"/>
      <c r="Y365" s="1720"/>
      <c r="Z365" s="1720"/>
      <c r="AA365" s="1720"/>
      <c r="AB365" s="1720"/>
      <c r="AC365" s="1720"/>
      <c r="AD365" s="1720"/>
      <c r="AE365" s="1720"/>
      <c r="AF365" s="1720"/>
      <c r="AG365" s="1720"/>
      <c r="AH365" s="1720"/>
      <c r="AI365" s="1720"/>
      <c r="AJ365" s="1720"/>
      <c r="AK365" s="27"/>
      <c r="AL365" s="27"/>
      <c r="AM365" s="27"/>
      <c r="AN365" s="279"/>
      <c r="AO365" s="685" t="s">
        <v>434</v>
      </c>
      <c r="AP365" s="71">
        <f>IF(C423="Yes",5,0)</f>
        <v>0</v>
      </c>
    </row>
    <row r="366" spans="1:46" s="4" customFormat="1" ht="12.75" customHeight="1">
      <c r="A366" s="27"/>
      <c r="B366" s="26"/>
      <c r="C366" s="1720" t="s">
        <v>1831</v>
      </c>
      <c r="D366" s="1720"/>
      <c r="E366" s="1720"/>
      <c r="F366" s="1720"/>
      <c r="G366" s="1720"/>
      <c r="H366" s="1720"/>
      <c r="I366" s="1720"/>
      <c r="J366" s="1720"/>
      <c r="K366" s="1720"/>
      <c r="L366" s="1720"/>
      <c r="M366" s="1720"/>
      <c r="N366" s="1720"/>
      <c r="O366" s="1720"/>
      <c r="P366" s="1720"/>
      <c r="Q366" s="1720"/>
      <c r="R366" s="1720"/>
      <c r="S366" s="1720"/>
      <c r="T366" s="1720"/>
      <c r="U366" s="1720"/>
      <c r="V366" s="1720"/>
      <c r="W366" s="1720"/>
      <c r="X366" s="1720"/>
      <c r="Y366" s="1720"/>
      <c r="Z366" s="1720"/>
      <c r="AA366" s="1720"/>
      <c r="AB366" s="1720"/>
      <c r="AC366" s="1720"/>
      <c r="AD366" s="1720"/>
      <c r="AE366" s="1720"/>
      <c r="AF366" s="1720"/>
      <c r="AG366" s="1720"/>
      <c r="AH366" s="1720"/>
      <c r="AI366" s="1720"/>
      <c r="AJ366" s="1720"/>
      <c r="AK366" s="27"/>
      <c r="AL366" s="27"/>
      <c r="AM366" s="27"/>
      <c r="AN366" s="279"/>
      <c r="AO366" s="279"/>
      <c r="AP366" s="71">
        <f>IF(C425="Yes",3,0)</f>
        <v>0</v>
      </c>
    </row>
    <row r="367" spans="1:46" s="4" customFormat="1" ht="12.75" customHeight="1">
      <c r="A367" s="27"/>
      <c r="B367" s="26"/>
      <c r="C367" s="1720"/>
      <c r="D367" s="1720"/>
      <c r="E367" s="1720"/>
      <c r="F367" s="1720"/>
      <c r="G367" s="1720"/>
      <c r="H367" s="1720"/>
      <c r="I367" s="1720"/>
      <c r="J367" s="1720"/>
      <c r="K367" s="1720"/>
      <c r="L367" s="1720"/>
      <c r="M367" s="1720"/>
      <c r="N367" s="1720"/>
      <c r="O367" s="1720"/>
      <c r="P367" s="1720"/>
      <c r="Q367" s="1720"/>
      <c r="R367" s="1720"/>
      <c r="S367" s="1720"/>
      <c r="T367" s="1720"/>
      <c r="U367" s="1720"/>
      <c r="V367" s="1720"/>
      <c r="W367" s="1720"/>
      <c r="X367" s="1720"/>
      <c r="Y367" s="1720"/>
      <c r="Z367" s="1720"/>
      <c r="AA367" s="1720"/>
      <c r="AB367" s="1720"/>
      <c r="AC367" s="1720"/>
      <c r="AD367" s="1720"/>
      <c r="AE367" s="1720"/>
      <c r="AF367" s="1720"/>
      <c r="AG367" s="1720"/>
      <c r="AH367" s="1720"/>
      <c r="AI367" s="1720"/>
      <c r="AJ367" s="1720"/>
      <c r="AK367" s="27"/>
      <c r="AL367" s="27"/>
      <c r="AM367" s="27"/>
      <c r="AN367" s="279"/>
      <c r="AO367" s="686"/>
      <c r="AP367" s="55"/>
    </row>
    <row r="368" spans="1:46" s="4" customFormat="1" ht="68.099999999999994" customHeight="1">
      <c r="A368" s="27"/>
      <c r="B368" s="26"/>
      <c r="C368" s="1720"/>
      <c r="D368" s="1720"/>
      <c r="E368" s="1720"/>
      <c r="F368" s="1720"/>
      <c r="G368" s="1720"/>
      <c r="H368" s="1720"/>
      <c r="I368" s="1720"/>
      <c r="J368" s="1720"/>
      <c r="K368" s="1720"/>
      <c r="L368" s="1720"/>
      <c r="M368" s="1720"/>
      <c r="N368" s="1720"/>
      <c r="O368" s="1720"/>
      <c r="P368" s="1720"/>
      <c r="Q368" s="1720"/>
      <c r="R368" s="1720"/>
      <c r="S368" s="1720"/>
      <c r="T368" s="1720"/>
      <c r="U368" s="1720"/>
      <c r="V368" s="1720"/>
      <c r="W368" s="1720"/>
      <c r="X368" s="1720"/>
      <c r="Y368" s="1720"/>
      <c r="Z368" s="1720"/>
      <c r="AA368" s="1720"/>
      <c r="AB368" s="1720"/>
      <c r="AC368" s="1720"/>
      <c r="AD368" s="1720"/>
      <c r="AE368" s="1720"/>
      <c r="AF368" s="1720"/>
      <c r="AG368" s="1720"/>
      <c r="AH368" s="1720"/>
      <c r="AI368" s="1720"/>
      <c r="AJ368" s="1720"/>
      <c r="AK368" s="27"/>
      <c r="AL368" s="27"/>
      <c r="AM368" s="27"/>
      <c r="AN368" s="279"/>
      <c r="AO368" s="687" t="s">
        <v>610</v>
      </c>
      <c r="AP368" s="166">
        <f>SUM(AP354:AP367)</f>
        <v>10</v>
      </c>
      <c r="AQ368" s="1526">
        <f>IF(AP368&gt;0,AP368,0)</f>
        <v>10</v>
      </c>
      <c r="AR368" s="1526"/>
    </row>
    <row r="369" spans="1:153" s="4" customFormat="1" ht="12.4" customHeight="1">
      <c r="A369" s="27"/>
      <c r="B369" s="26"/>
      <c r="C369" s="4" t="s">
        <v>1489</v>
      </c>
      <c r="AF369" s="27"/>
      <c r="AG369" s="27"/>
      <c r="AH369" s="27"/>
      <c r="AI369" s="27"/>
      <c r="AJ369" s="27"/>
      <c r="AK369" s="27"/>
      <c r="AL369" s="27"/>
      <c r="AM369" s="27"/>
      <c r="AN369" s="279"/>
      <c r="AO369" s="685" t="s">
        <v>742</v>
      </c>
      <c r="AP369" s="71">
        <f>IF(C432="Yes",5,0)</f>
        <v>5</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726">
        <f>Application!CQ657-U371</f>
        <v>11</v>
      </c>
      <c r="V370" s="1726"/>
      <c r="W370" s="1726"/>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727">
        <f>IF(Application!D214="SRO",Application!CQ636,Application!AG741)</f>
        <v>36</v>
      </c>
      <c r="V371" s="1727"/>
      <c r="W371" s="1727"/>
      <c r="X371" s="168"/>
      <c r="Y371" s="168"/>
      <c r="Z371" s="168"/>
      <c r="AA371" s="170"/>
      <c r="AC371" s="275"/>
      <c r="AD371" s="275"/>
      <c r="AE371" s="27"/>
      <c r="AF371" s="27"/>
      <c r="AG371" s="27"/>
      <c r="AH371" s="27"/>
      <c r="AI371" s="27"/>
      <c r="AJ371" s="27"/>
      <c r="AK371" s="27"/>
      <c r="AL371" s="27"/>
      <c r="AM371" s="27"/>
      <c r="AN371" s="279"/>
      <c r="AO371" s="685"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21" t="s">
        <v>1774</v>
      </c>
      <c r="G375" s="1721"/>
      <c r="H375" s="1721"/>
      <c r="I375" s="1721"/>
      <c r="J375" s="1721"/>
      <c r="K375" s="1721"/>
      <c r="L375" s="1721"/>
      <c r="M375" s="1721"/>
      <c r="N375" s="1721"/>
      <c r="O375" s="1721"/>
      <c r="P375" s="1721"/>
      <c r="Q375" s="1721"/>
      <c r="R375" s="1721"/>
      <c r="S375" s="1721"/>
      <c r="T375" s="1721"/>
      <c r="U375" s="1721"/>
      <c r="V375" s="1721"/>
      <c r="W375" s="1721"/>
      <c r="X375" s="1721"/>
      <c r="Y375" s="1721"/>
      <c r="Z375" s="1721"/>
      <c r="AA375" s="1721"/>
      <c r="AB375" s="1721"/>
      <c r="AC375" s="1721"/>
      <c r="AD375" s="1721"/>
      <c r="AE375" s="1721"/>
      <c r="AF375" s="1721"/>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22"/>
      <c r="G376" s="1722"/>
      <c r="H376" s="1722"/>
      <c r="I376" s="1722"/>
      <c r="J376" s="1722"/>
      <c r="K376" s="1722"/>
      <c r="L376" s="1722"/>
      <c r="M376" s="1722"/>
      <c r="N376" s="1722"/>
      <c r="O376" s="1722"/>
      <c r="P376" s="1722"/>
      <c r="Q376" s="1722"/>
      <c r="R376" s="1722"/>
      <c r="S376" s="1722"/>
      <c r="T376" s="1722"/>
      <c r="U376" s="1722"/>
      <c r="V376" s="1722"/>
      <c r="W376" s="1722"/>
      <c r="X376" s="1722"/>
      <c r="Y376" s="1722"/>
      <c r="Z376" s="1722"/>
      <c r="AA376" s="1722"/>
      <c r="AB376" s="1722"/>
      <c r="AC376" s="1722"/>
      <c r="AD376" s="1722"/>
      <c r="AE376" s="1722"/>
      <c r="AF376" s="1722"/>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22"/>
      <c r="G377" s="1722"/>
      <c r="H377" s="1722"/>
      <c r="I377" s="1722"/>
      <c r="J377" s="1722"/>
      <c r="K377" s="1722"/>
      <c r="L377" s="1722"/>
      <c r="M377" s="1722"/>
      <c r="N377" s="1722"/>
      <c r="O377" s="1722"/>
      <c r="P377" s="1722"/>
      <c r="Q377" s="1722"/>
      <c r="R377" s="1722"/>
      <c r="S377" s="1722"/>
      <c r="T377" s="1722"/>
      <c r="U377" s="1722"/>
      <c r="V377" s="1722"/>
      <c r="W377" s="1722"/>
      <c r="X377" s="1722"/>
      <c r="Y377" s="1722"/>
      <c r="Z377" s="1722"/>
      <c r="AA377" s="1722"/>
      <c r="AB377" s="1722"/>
      <c r="AC377" s="1722"/>
      <c r="AD377" s="1722"/>
      <c r="AE377" s="1722"/>
      <c r="AF377" s="1722"/>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22"/>
      <c r="G378" s="1722"/>
      <c r="H378" s="1722"/>
      <c r="I378" s="1722"/>
      <c r="J378" s="1722"/>
      <c r="K378" s="1722"/>
      <c r="L378" s="1722"/>
      <c r="M378" s="1722"/>
      <c r="N378" s="1722"/>
      <c r="O378" s="1722"/>
      <c r="P378" s="1722"/>
      <c r="Q378" s="1722"/>
      <c r="R378" s="1722"/>
      <c r="S378" s="1722"/>
      <c r="T378" s="1722"/>
      <c r="U378" s="1722"/>
      <c r="V378" s="1722"/>
      <c r="W378" s="1722"/>
      <c r="X378" s="1722"/>
      <c r="Y378" s="1722"/>
      <c r="Z378" s="1722"/>
      <c r="AA378" s="1722"/>
      <c r="AB378" s="1722"/>
      <c r="AC378" s="1722"/>
      <c r="AD378" s="1722"/>
      <c r="AE378" s="1722"/>
      <c r="AF378" s="1722"/>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18" t="s">
        <v>124</v>
      </c>
      <c r="D379" s="1084"/>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89" t="s">
        <v>319</v>
      </c>
      <c r="AG379" s="1189"/>
      <c r="AH379" s="1189"/>
      <c r="AI379" s="1189"/>
      <c r="AJ379" s="1189"/>
      <c r="AK379" s="1189"/>
      <c r="AL379" s="1725"/>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526">
        <f>IF(AP381&gt;0,AP381,0)</f>
        <v>10</v>
      </c>
      <c r="AR381" s="15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21" t="s">
        <v>1773</v>
      </c>
      <c r="G384" s="1721"/>
      <c r="H384" s="1721"/>
      <c r="I384" s="1721"/>
      <c r="J384" s="1721"/>
      <c r="K384" s="1721"/>
      <c r="L384" s="1721"/>
      <c r="M384" s="1721"/>
      <c r="N384" s="1721"/>
      <c r="O384" s="1721"/>
      <c r="P384" s="1721"/>
      <c r="Q384" s="1721"/>
      <c r="R384" s="1721"/>
      <c r="S384" s="1721"/>
      <c r="T384" s="1721"/>
      <c r="U384" s="1721"/>
      <c r="V384" s="1721"/>
      <c r="W384" s="1721"/>
      <c r="X384" s="1721"/>
      <c r="Y384" s="1721"/>
      <c r="Z384" s="1721"/>
      <c r="AA384" s="1721"/>
      <c r="AB384" s="1721"/>
      <c r="AC384" s="1721"/>
      <c r="AD384" s="1721"/>
      <c r="AE384" s="1721"/>
      <c r="AF384" s="1721"/>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22"/>
      <c r="G385" s="1722"/>
      <c r="H385" s="1722"/>
      <c r="I385" s="1722"/>
      <c r="J385" s="1722"/>
      <c r="K385" s="1722"/>
      <c r="L385" s="1722"/>
      <c r="M385" s="1722"/>
      <c r="N385" s="1722"/>
      <c r="O385" s="1722"/>
      <c r="P385" s="1722"/>
      <c r="Q385" s="1722"/>
      <c r="R385" s="1722"/>
      <c r="S385" s="1722"/>
      <c r="T385" s="1722"/>
      <c r="U385" s="1722"/>
      <c r="V385" s="1722"/>
      <c r="W385" s="1722"/>
      <c r="X385" s="1722"/>
      <c r="Y385" s="1722"/>
      <c r="Z385" s="1722"/>
      <c r="AA385" s="1722"/>
      <c r="AB385" s="1722"/>
      <c r="AC385" s="1722"/>
      <c r="AD385" s="1722"/>
      <c r="AE385" s="1722"/>
      <c r="AF385" s="1722"/>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22"/>
      <c r="G386" s="1722"/>
      <c r="H386" s="1722"/>
      <c r="I386" s="1722"/>
      <c r="J386" s="1722"/>
      <c r="K386" s="1722"/>
      <c r="L386" s="1722"/>
      <c r="M386" s="1722"/>
      <c r="N386" s="1722"/>
      <c r="O386" s="1722"/>
      <c r="P386" s="1722"/>
      <c r="Q386" s="1722"/>
      <c r="R386" s="1722"/>
      <c r="S386" s="1722"/>
      <c r="T386" s="1722"/>
      <c r="U386" s="1722"/>
      <c r="V386" s="1722"/>
      <c r="W386" s="1722"/>
      <c r="X386" s="1722"/>
      <c r="Y386" s="1722"/>
      <c r="Z386" s="1722"/>
      <c r="AA386" s="1722"/>
      <c r="AB386" s="1722"/>
      <c r="AC386" s="1722"/>
      <c r="AD386" s="1722"/>
      <c r="AE386" s="1722"/>
      <c r="AF386" s="1722"/>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22"/>
      <c r="G387" s="1722"/>
      <c r="H387" s="1722"/>
      <c r="I387" s="1722"/>
      <c r="J387" s="1722"/>
      <c r="K387" s="1722"/>
      <c r="L387" s="1722"/>
      <c r="M387" s="1722"/>
      <c r="N387" s="1722"/>
      <c r="O387" s="1722"/>
      <c r="P387" s="1722"/>
      <c r="Q387" s="1722"/>
      <c r="R387" s="1722"/>
      <c r="S387" s="1722"/>
      <c r="T387" s="1722"/>
      <c r="U387" s="1722"/>
      <c r="V387" s="1722"/>
      <c r="W387" s="1722"/>
      <c r="X387" s="1722"/>
      <c r="Y387" s="1722"/>
      <c r="Z387" s="1722"/>
      <c r="AA387" s="1722"/>
      <c r="AB387" s="1722"/>
      <c r="AC387" s="1722"/>
      <c r="AD387" s="1722"/>
      <c r="AE387" s="1722"/>
      <c r="AF387" s="1722"/>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22"/>
      <c r="G388" s="1722"/>
      <c r="H388" s="1722"/>
      <c r="I388" s="1722"/>
      <c r="J388" s="1722"/>
      <c r="K388" s="1722"/>
      <c r="L388" s="1722"/>
      <c r="M388" s="1722"/>
      <c r="N388" s="1722"/>
      <c r="O388" s="1722"/>
      <c r="P388" s="1722"/>
      <c r="Q388" s="1722"/>
      <c r="R388" s="1722"/>
      <c r="S388" s="1722"/>
      <c r="T388" s="1722"/>
      <c r="U388" s="1722"/>
      <c r="V388" s="1722"/>
      <c r="W388" s="1722"/>
      <c r="X388" s="1722"/>
      <c r="Y388" s="1722"/>
      <c r="Z388" s="1722"/>
      <c r="AA388" s="1722"/>
      <c r="AB388" s="1722"/>
      <c r="AC388" s="1722"/>
      <c r="AD388" s="1722"/>
      <c r="AE388" s="1722"/>
      <c r="AF388" s="1722"/>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18" t="s">
        <v>124</v>
      </c>
      <c r="D389" s="1084"/>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89" t="s">
        <v>319</v>
      </c>
      <c r="AG389" s="1189"/>
      <c r="AH389" s="1189"/>
      <c r="AI389" s="1189"/>
      <c r="AJ389" s="1189"/>
      <c r="AK389" s="1189"/>
      <c r="AL389" s="1725"/>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11"/>
      <c r="D391" s="1511"/>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89"/>
      <c r="AG391" s="1189"/>
      <c r="AH391" s="1189"/>
      <c r="AI391" s="1189"/>
      <c r="AJ391" s="1189"/>
      <c r="AK391" s="1189"/>
      <c r="AL391" s="118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50" t="s">
        <v>1937</v>
      </c>
      <c r="G394" s="1750"/>
      <c r="H394" s="1750"/>
      <c r="I394" s="1750"/>
      <c r="J394" s="1750"/>
      <c r="K394" s="1750"/>
      <c r="L394" s="1750"/>
      <c r="M394" s="1750"/>
      <c r="N394" s="1750"/>
      <c r="O394" s="1750"/>
      <c r="P394" s="1750"/>
      <c r="Q394" s="1750"/>
      <c r="R394" s="1750"/>
      <c r="S394" s="1750"/>
      <c r="T394" s="1750"/>
      <c r="U394" s="1750"/>
      <c r="V394" s="1750"/>
      <c r="W394" s="1750"/>
      <c r="X394" s="1750"/>
      <c r="Y394" s="1750"/>
      <c r="Z394" s="1750"/>
      <c r="AA394" s="1750"/>
      <c r="AB394" s="1750"/>
      <c r="AC394" s="1750"/>
      <c r="AD394" s="1750"/>
      <c r="AE394" s="1750"/>
      <c r="AF394" s="1750"/>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51"/>
      <c r="G395" s="1751"/>
      <c r="H395" s="1751"/>
      <c r="I395" s="1751"/>
      <c r="J395" s="1751"/>
      <c r="K395" s="1751"/>
      <c r="L395" s="1751"/>
      <c r="M395" s="1751"/>
      <c r="N395" s="1751"/>
      <c r="O395" s="1751"/>
      <c r="P395" s="1751"/>
      <c r="Q395" s="1751"/>
      <c r="R395" s="1751"/>
      <c r="S395" s="1751"/>
      <c r="T395" s="1751"/>
      <c r="U395" s="1751"/>
      <c r="V395" s="1751"/>
      <c r="W395" s="1751"/>
      <c r="X395" s="1751"/>
      <c r="Y395" s="1751"/>
      <c r="Z395" s="1751"/>
      <c r="AA395" s="1751"/>
      <c r="AB395" s="1751"/>
      <c r="AC395" s="1751"/>
      <c r="AD395" s="1751"/>
      <c r="AE395" s="1751"/>
      <c r="AF395" s="1751"/>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51"/>
      <c r="G396" s="1751"/>
      <c r="H396" s="1751"/>
      <c r="I396" s="1751"/>
      <c r="J396" s="1751"/>
      <c r="K396" s="1751"/>
      <c r="L396" s="1751"/>
      <c r="M396" s="1751"/>
      <c r="N396" s="1751"/>
      <c r="O396" s="1751"/>
      <c r="P396" s="1751"/>
      <c r="Q396" s="1751"/>
      <c r="R396" s="1751"/>
      <c r="S396" s="1751"/>
      <c r="T396" s="1751"/>
      <c r="U396" s="1751"/>
      <c r="V396" s="1751"/>
      <c r="W396" s="1751"/>
      <c r="X396" s="1751"/>
      <c r="Y396" s="1751"/>
      <c r="Z396" s="1751"/>
      <c r="AA396" s="1751"/>
      <c r="AB396" s="1751"/>
      <c r="AC396" s="1751"/>
      <c r="AD396" s="1751"/>
      <c r="AE396" s="1751"/>
      <c r="AF396" s="1751"/>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51"/>
      <c r="G397" s="1751"/>
      <c r="H397" s="1751"/>
      <c r="I397" s="1751"/>
      <c r="J397" s="1751"/>
      <c r="K397" s="1751"/>
      <c r="L397" s="1751"/>
      <c r="M397" s="1751"/>
      <c r="N397" s="1751"/>
      <c r="O397" s="1751"/>
      <c r="P397" s="1751"/>
      <c r="Q397" s="1751"/>
      <c r="R397" s="1751"/>
      <c r="S397" s="1751"/>
      <c r="T397" s="1751"/>
      <c r="U397" s="1751"/>
      <c r="V397" s="1751"/>
      <c r="W397" s="1751"/>
      <c r="X397" s="1751"/>
      <c r="Y397" s="1751"/>
      <c r="Z397" s="1751"/>
      <c r="AA397" s="1751"/>
      <c r="AB397" s="1751"/>
      <c r="AC397" s="1751"/>
      <c r="AD397" s="1751"/>
      <c r="AE397" s="1751"/>
      <c r="AF397" s="1751"/>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51"/>
      <c r="G398" s="1751"/>
      <c r="H398" s="1751"/>
      <c r="I398" s="1751"/>
      <c r="J398" s="1751"/>
      <c r="K398" s="1751"/>
      <c r="L398" s="1751"/>
      <c r="M398" s="1751"/>
      <c r="N398" s="1751"/>
      <c r="O398" s="1751"/>
      <c r="P398" s="1751"/>
      <c r="Q398" s="1751"/>
      <c r="R398" s="1751"/>
      <c r="S398" s="1751"/>
      <c r="T398" s="1751"/>
      <c r="U398" s="1751"/>
      <c r="V398" s="1751"/>
      <c r="W398" s="1751"/>
      <c r="X398" s="1751"/>
      <c r="Y398" s="1751"/>
      <c r="Z398" s="1751"/>
      <c r="AA398" s="1751"/>
      <c r="AB398" s="1751"/>
      <c r="AC398" s="1751"/>
      <c r="AD398" s="1751"/>
      <c r="AE398" s="1751"/>
      <c r="AF398" s="1751"/>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18" t="s">
        <v>108</v>
      </c>
      <c r="D399" s="1084"/>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89" t="s">
        <v>963</v>
      </c>
      <c r="AG399" s="1189"/>
      <c r="AH399" s="1189"/>
      <c r="AI399" s="1189"/>
      <c r="AJ399" s="1189"/>
      <c r="AK399" s="1189"/>
      <c r="AL399" s="1725"/>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18" t="s">
        <v>124</v>
      </c>
      <c r="D401" s="1084"/>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89" t="s">
        <v>319</v>
      </c>
      <c r="AG401" s="1189"/>
      <c r="AH401" s="1189"/>
      <c r="AI401" s="1189"/>
      <c r="AJ401" s="1189"/>
      <c r="AK401" s="1189"/>
      <c r="AL401" s="1725"/>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21" t="s">
        <v>1772</v>
      </c>
      <c r="G405" s="1721"/>
      <c r="H405" s="1721"/>
      <c r="I405" s="1721"/>
      <c r="J405" s="1721"/>
      <c r="K405" s="1721"/>
      <c r="L405" s="1721"/>
      <c r="M405" s="1721"/>
      <c r="N405" s="1721"/>
      <c r="O405" s="1721"/>
      <c r="P405" s="1721"/>
      <c r="Q405" s="1721"/>
      <c r="R405" s="1721"/>
      <c r="S405" s="1721"/>
      <c r="T405" s="1721"/>
      <c r="U405" s="1721"/>
      <c r="V405" s="1721"/>
      <c r="W405" s="1721"/>
      <c r="X405" s="1721"/>
      <c r="Y405" s="1721"/>
      <c r="Z405" s="1721"/>
      <c r="AA405" s="1721"/>
      <c r="AB405" s="1721"/>
      <c r="AC405" s="1721"/>
      <c r="AD405" s="1721"/>
      <c r="AE405" s="1721"/>
      <c r="AF405" s="1721"/>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22"/>
      <c r="G406" s="1722"/>
      <c r="H406" s="1722"/>
      <c r="I406" s="1722"/>
      <c r="J406" s="1722"/>
      <c r="K406" s="1722"/>
      <c r="L406" s="1722"/>
      <c r="M406" s="1722"/>
      <c r="N406" s="1722"/>
      <c r="O406" s="1722"/>
      <c r="P406" s="1722"/>
      <c r="Q406" s="1722"/>
      <c r="R406" s="1722"/>
      <c r="S406" s="1722"/>
      <c r="T406" s="1722"/>
      <c r="U406" s="1722"/>
      <c r="V406" s="1722"/>
      <c r="W406" s="1722"/>
      <c r="X406" s="1722"/>
      <c r="Y406" s="1722"/>
      <c r="Z406" s="1722"/>
      <c r="AA406" s="1722"/>
      <c r="AB406" s="1722"/>
      <c r="AC406" s="1722"/>
      <c r="AD406" s="1722"/>
      <c r="AE406" s="1722"/>
      <c r="AF406" s="1722"/>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22"/>
      <c r="G407" s="1722"/>
      <c r="H407" s="1722"/>
      <c r="I407" s="1722"/>
      <c r="J407" s="1722"/>
      <c r="K407" s="1722"/>
      <c r="L407" s="1722"/>
      <c r="M407" s="1722"/>
      <c r="N407" s="1722"/>
      <c r="O407" s="1722"/>
      <c r="P407" s="1722"/>
      <c r="Q407" s="1722"/>
      <c r="R407" s="1722"/>
      <c r="S407" s="1722"/>
      <c r="T407" s="1722"/>
      <c r="U407" s="1722"/>
      <c r="V407" s="1722"/>
      <c r="W407" s="1722"/>
      <c r="X407" s="1722"/>
      <c r="Y407" s="1722"/>
      <c r="Z407" s="1722"/>
      <c r="AA407" s="1722"/>
      <c r="AB407" s="1722"/>
      <c r="AC407" s="1722"/>
      <c r="AD407" s="1722"/>
      <c r="AE407" s="1722"/>
      <c r="AF407" s="1722"/>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22"/>
      <c r="G408" s="1722"/>
      <c r="H408" s="1722"/>
      <c r="I408" s="1722"/>
      <c r="J408" s="1722"/>
      <c r="K408" s="1722"/>
      <c r="L408" s="1722"/>
      <c r="M408" s="1722"/>
      <c r="N408" s="1722"/>
      <c r="O408" s="1722"/>
      <c r="P408" s="1722"/>
      <c r="Q408" s="1722"/>
      <c r="R408" s="1722"/>
      <c r="S408" s="1722"/>
      <c r="T408" s="1722"/>
      <c r="U408" s="1722"/>
      <c r="V408" s="1722"/>
      <c r="W408" s="1722"/>
      <c r="X408" s="1722"/>
      <c r="Y408" s="1722"/>
      <c r="Z408" s="1722"/>
      <c r="AA408" s="1722"/>
      <c r="AB408" s="1722"/>
      <c r="AC408" s="1722"/>
      <c r="AD408" s="1722"/>
      <c r="AE408" s="1722"/>
      <c r="AF408" s="1722"/>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18" t="s">
        <v>124</v>
      </c>
      <c r="D409" s="1084"/>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89" t="s">
        <v>319</v>
      </c>
      <c r="AG409" s="1189"/>
      <c r="AH409" s="1189"/>
      <c r="AI409" s="1189"/>
      <c r="AJ409" s="1189"/>
      <c r="AK409" s="1189"/>
      <c r="AL409" s="1725"/>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8" t="s">
        <v>108</v>
      </c>
      <c r="D411" s="1084"/>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89" t="s">
        <v>962</v>
      </c>
      <c r="AG411" s="1189"/>
      <c r="AH411" s="1189"/>
      <c r="AI411" s="1189"/>
      <c r="AJ411" s="1189"/>
      <c r="AK411" s="1189"/>
      <c r="AL411" s="1725"/>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18" t="s">
        <v>124</v>
      </c>
      <c r="D414" s="1084"/>
      <c r="E414" s="695" t="s">
        <v>193</v>
      </c>
      <c r="F414" s="1721" t="s">
        <v>1776</v>
      </c>
      <c r="G414" s="1721"/>
      <c r="H414" s="1721"/>
      <c r="I414" s="1721"/>
      <c r="J414" s="1721"/>
      <c r="K414" s="1721"/>
      <c r="L414" s="1721"/>
      <c r="M414" s="1721"/>
      <c r="N414" s="1721"/>
      <c r="O414" s="1721"/>
      <c r="P414" s="1721"/>
      <c r="Q414" s="1721"/>
      <c r="R414" s="1721"/>
      <c r="S414" s="1721"/>
      <c r="T414" s="1721"/>
      <c r="U414" s="1721"/>
      <c r="V414" s="1721"/>
      <c r="W414" s="1721"/>
      <c r="X414" s="1721"/>
      <c r="Y414" s="1721"/>
      <c r="Z414" s="1721"/>
      <c r="AA414" s="1721"/>
      <c r="AB414" s="1721"/>
      <c r="AC414" s="1721"/>
      <c r="AD414" s="1721"/>
      <c r="AE414" s="1721"/>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22"/>
      <c r="G415" s="1722"/>
      <c r="H415" s="1722"/>
      <c r="I415" s="1722"/>
      <c r="J415" s="1722"/>
      <c r="K415" s="1722"/>
      <c r="L415" s="1722"/>
      <c r="M415" s="1722"/>
      <c r="N415" s="1722"/>
      <c r="O415" s="1722"/>
      <c r="P415" s="1722"/>
      <c r="Q415" s="1722"/>
      <c r="R415" s="1722"/>
      <c r="S415" s="1722"/>
      <c r="T415" s="1722"/>
      <c r="U415" s="1722"/>
      <c r="V415" s="1722"/>
      <c r="W415" s="1722"/>
      <c r="X415" s="1722"/>
      <c r="Y415" s="1722"/>
      <c r="Z415" s="1722"/>
      <c r="AA415" s="1722"/>
      <c r="AB415" s="1722"/>
      <c r="AC415" s="1722"/>
      <c r="AD415" s="1722"/>
      <c r="AE415" s="1722"/>
      <c r="AF415" s="1708" t="s">
        <v>319</v>
      </c>
      <c r="AG415" s="1708"/>
      <c r="AH415" s="1708"/>
      <c r="AI415" s="1708"/>
      <c r="AJ415" s="1708"/>
      <c r="AK415" s="1708"/>
      <c r="AL415" s="1724"/>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22"/>
      <c r="G416" s="1722"/>
      <c r="H416" s="1722"/>
      <c r="I416" s="1722"/>
      <c r="J416" s="1722"/>
      <c r="K416" s="1722"/>
      <c r="L416" s="1722"/>
      <c r="M416" s="1722"/>
      <c r="N416" s="1722"/>
      <c r="O416" s="1722"/>
      <c r="P416" s="1722"/>
      <c r="Q416" s="1722"/>
      <c r="R416" s="1722"/>
      <c r="S416" s="1722"/>
      <c r="T416" s="1722"/>
      <c r="U416" s="1722"/>
      <c r="V416" s="1722"/>
      <c r="W416" s="1722"/>
      <c r="X416" s="1722"/>
      <c r="Y416" s="1722"/>
      <c r="Z416" s="1722"/>
      <c r="AA416" s="1722"/>
      <c r="AB416" s="1722"/>
      <c r="AC416" s="1722"/>
      <c r="AD416" s="1722"/>
      <c r="AE416" s="1722"/>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23"/>
      <c r="G417" s="1723"/>
      <c r="H417" s="1723"/>
      <c r="I417" s="1723"/>
      <c r="J417" s="1723"/>
      <c r="K417" s="1723"/>
      <c r="L417" s="1723"/>
      <c r="M417" s="1723"/>
      <c r="N417" s="1723"/>
      <c r="O417" s="1723"/>
      <c r="P417" s="1723"/>
      <c r="Q417" s="1723"/>
      <c r="R417" s="1723"/>
      <c r="S417" s="1723"/>
      <c r="T417" s="1723"/>
      <c r="U417" s="1723"/>
      <c r="V417" s="1723"/>
      <c r="W417" s="1723"/>
      <c r="X417" s="1723"/>
      <c r="Y417" s="1723"/>
      <c r="Z417" s="1723"/>
      <c r="AA417" s="1723"/>
      <c r="AB417" s="1723"/>
      <c r="AC417" s="1723"/>
      <c r="AD417" s="1723"/>
      <c r="AE417" s="1723"/>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21" t="s">
        <v>1778</v>
      </c>
      <c r="G419" s="1721"/>
      <c r="H419" s="1721"/>
      <c r="I419" s="1721"/>
      <c r="J419" s="1721"/>
      <c r="K419" s="1721"/>
      <c r="L419" s="1721"/>
      <c r="M419" s="1721"/>
      <c r="N419" s="1721"/>
      <c r="O419" s="1721"/>
      <c r="P419" s="1721"/>
      <c r="Q419" s="1721"/>
      <c r="R419" s="1721"/>
      <c r="S419" s="1721"/>
      <c r="T419" s="1721"/>
      <c r="U419" s="1721"/>
      <c r="V419" s="1721"/>
      <c r="W419" s="1721"/>
      <c r="X419" s="1721"/>
      <c r="Y419" s="1721"/>
      <c r="Z419" s="1721"/>
      <c r="AA419" s="1721"/>
      <c r="AB419" s="1721"/>
      <c r="AC419" s="1721"/>
      <c r="AD419" s="1721"/>
      <c r="AE419" s="1721"/>
      <c r="AF419" s="715"/>
      <c r="AG419" s="715"/>
      <c r="AH419" s="715"/>
      <c r="AI419" s="715"/>
      <c r="AJ419" s="715"/>
      <c r="AK419" s="715"/>
      <c r="AL419" s="716"/>
      <c r="AM419"/>
    </row>
    <row r="420" spans="1:55">
      <c r="A420" s="5"/>
      <c r="C420" s="701"/>
      <c r="E420" s="192"/>
      <c r="F420" s="1722"/>
      <c r="G420" s="1722"/>
      <c r="H420" s="1722"/>
      <c r="I420" s="1722"/>
      <c r="J420" s="1722"/>
      <c r="K420" s="1722"/>
      <c r="L420" s="1722"/>
      <c r="M420" s="1722"/>
      <c r="N420" s="1722"/>
      <c r="O420" s="1722"/>
      <c r="P420" s="1722"/>
      <c r="Q420" s="1722"/>
      <c r="R420" s="1722"/>
      <c r="S420" s="1722"/>
      <c r="T420" s="1722"/>
      <c r="U420" s="1722"/>
      <c r="V420" s="1722"/>
      <c r="W420" s="1722"/>
      <c r="X420" s="1722"/>
      <c r="Y420" s="1722"/>
      <c r="Z420" s="1722"/>
      <c r="AA420" s="1722"/>
      <c r="AB420" s="1722"/>
      <c r="AC420" s="1722"/>
      <c r="AD420" s="1722"/>
      <c r="AE420" s="1722"/>
      <c r="AF420" s="3"/>
      <c r="AG420" s="5"/>
      <c r="AH420" s="4"/>
      <c r="AI420" s="4"/>
      <c r="AJ420" s="4"/>
      <c r="AK420" s="4"/>
      <c r="AL420" s="702"/>
      <c r="AM420"/>
    </row>
    <row r="421" spans="1:55" s="4" customFormat="1" ht="12.75" customHeight="1">
      <c r="A421" s="5"/>
      <c r="B421" s="21"/>
      <c r="C421" s="701"/>
      <c r="D421" s="21"/>
      <c r="E421" s="192"/>
      <c r="F421" s="1722"/>
      <c r="G421" s="1722"/>
      <c r="H421" s="1722"/>
      <c r="I421" s="1722"/>
      <c r="J421" s="1722"/>
      <c r="K421" s="1722"/>
      <c r="L421" s="1722"/>
      <c r="M421" s="1722"/>
      <c r="N421" s="1722"/>
      <c r="O421" s="1722"/>
      <c r="P421" s="1722"/>
      <c r="Q421" s="1722"/>
      <c r="R421" s="1722"/>
      <c r="S421" s="1722"/>
      <c r="T421" s="1722"/>
      <c r="U421" s="1722"/>
      <c r="V421" s="1722"/>
      <c r="W421" s="1722"/>
      <c r="X421" s="1722"/>
      <c r="Y421" s="1722"/>
      <c r="Z421" s="1722"/>
      <c r="AA421" s="1722"/>
      <c r="AB421" s="1722"/>
      <c r="AC421" s="1722"/>
      <c r="AD421" s="1722"/>
      <c r="AE421" s="1722"/>
      <c r="AL421" s="702"/>
      <c r="AM421"/>
      <c r="AN421" s="279"/>
    </row>
    <row r="422" spans="1:55" s="4" customFormat="1" ht="12.75" customHeight="1">
      <c r="A422" s="5"/>
      <c r="B422" s="21"/>
      <c r="C422" s="704"/>
      <c r="F422" s="1722"/>
      <c r="G422" s="1722"/>
      <c r="H422" s="1722"/>
      <c r="I422" s="1722"/>
      <c r="J422" s="1722"/>
      <c r="K422" s="1722"/>
      <c r="L422" s="1722"/>
      <c r="M422" s="1722"/>
      <c r="N422" s="1722"/>
      <c r="O422" s="1722"/>
      <c r="P422" s="1722"/>
      <c r="Q422" s="1722"/>
      <c r="R422" s="1722"/>
      <c r="S422" s="1722"/>
      <c r="T422" s="1722"/>
      <c r="U422" s="1722"/>
      <c r="V422" s="1722"/>
      <c r="W422" s="1722"/>
      <c r="X422" s="1722"/>
      <c r="Y422" s="1722"/>
      <c r="Z422" s="1722"/>
      <c r="AA422" s="1722"/>
      <c r="AB422" s="1722"/>
      <c r="AC422" s="1722"/>
      <c r="AD422" s="1722"/>
      <c r="AE422" s="1722"/>
      <c r="AL422" s="702"/>
      <c r="AM422"/>
      <c r="AN422" s="279"/>
    </row>
    <row r="423" spans="1:55" s="4" customFormat="1" ht="12.75" customHeight="1">
      <c r="A423" s="5"/>
      <c r="B423" s="21"/>
      <c r="C423" s="1718" t="s">
        <v>124</v>
      </c>
      <c r="D423" s="1084"/>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8" t="s">
        <v>319</v>
      </c>
      <c r="AG423" s="1708"/>
      <c r="AH423" s="1708"/>
      <c r="AI423" s="1708"/>
      <c r="AJ423" s="1708"/>
      <c r="AK423" s="1708"/>
      <c r="AL423" s="1724"/>
      <c r="AM423"/>
      <c r="AN423" s="279"/>
    </row>
    <row r="424" spans="1:55" s="4" customFormat="1" ht="12.75" customHeight="1">
      <c r="A424" s="5"/>
      <c r="B424" s="21"/>
      <c r="C424" s="704"/>
      <c r="AL424" s="702"/>
      <c r="AM424"/>
      <c r="AN424" s="279"/>
    </row>
    <row r="425" spans="1:55" s="4" customFormat="1" ht="12.75" customHeight="1">
      <c r="A425" s="5"/>
      <c r="B425" s="21"/>
      <c r="C425" s="1718" t="s">
        <v>124</v>
      </c>
      <c r="D425" s="1084"/>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8" t="s">
        <v>962</v>
      </c>
      <c r="AG425" s="1708"/>
      <c r="AH425" s="1708"/>
      <c r="AI425" s="1708"/>
      <c r="AJ425" s="1708"/>
      <c r="AK425" s="1708"/>
      <c r="AL425" s="1724"/>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21" t="s">
        <v>1779</v>
      </c>
      <c r="G429" s="1721"/>
      <c r="H429" s="1721"/>
      <c r="I429" s="1721"/>
      <c r="J429" s="1721"/>
      <c r="K429" s="1721"/>
      <c r="L429" s="1721"/>
      <c r="M429" s="1721"/>
      <c r="N429" s="1721"/>
      <c r="O429" s="1721"/>
      <c r="P429" s="1721"/>
      <c r="Q429" s="1721"/>
      <c r="R429" s="1721"/>
      <c r="S429" s="1721"/>
      <c r="T429" s="1721"/>
      <c r="U429" s="1721"/>
      <c r="V429" s="1721"/>
      <c r="W429" s="1721"/>
      <c r="X429" s="1721"/>
      <c r="Y429" s="1721"/>
      <c r="Z429" s="1721"/>
      <c r="AA429" s="1721"/>
      <c r="AB429" s="1721"/>
      <c r="AC429" s="1721"/>
      <c r="AD429" s="1721"/>
      <c r="AE429" s="1721"/>
      <c r="AF429" s="694"/>
      <c r="AG429" s="694"/>
      <c r="AH429" s="694"/>
      <c r="AI429" s="694"/>
      <c r="AJ429" s="694"/>
      <c r="AK429" s="694"/>
      <c r="AL429" s="718"/>
      <c r="AM429"/>
      <c r="AN429" s="279"/>
    </row>
    <row r="430" spans="1:55" s="4" customFormat="1" ht="12.75" customHeight="1">
      <c r="A430" s="5"/>
      <c r="B430" s="73"/>
      <c r="C430" s="719"/>
      <c r="D430" s="73"/>
      <c r="E430" s="19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3"/>
      <c r="AG430" s="5"/>
      <c r="AL430" s="702"/>
      <c r="AM430"/>
      <c r="AN430" s="279"/>
    </row>
    <row r="431" spans="1:55" s="4" customFormat="1" ht="12.4" customHeight="1">
      <c r="A431" s="5"/>
      <c r="B431" s="73"/>
      <c r="C431" s="719"/>
      <c r="D431" s="73"/>
      <c r="E431" s="192"/>
      <c r="F431" s="1722"/>
      <c r="G431" s="1722"/>
      <c r="H431" s="1722"/>
      <c r="I431" s="1722"/>
      <c r="J431" s="1722"/>
      <c r="K431" s="1722"/>
      <c r="L431" s="1722"/>
      <c r="M431" s="1722"/>
      <c r="N431" s="1722"/>
      <c r="O431" s="1722"/>
      <c r="P431" s="1722"/>
      <c r="Q431" s="1722"/>
      <c r="R431" s="1722"/>
      <c r="S431" s="1722"/>
      <c r="T431" s="1722"/>
      <c r="U431" s="1722"/>
      <c r="V431" s="1722"/>
      <c r="W431" s="1722"/>
      <c r="X431" s="1722"/>
      <c r="Y431" s="1722"/>
      <c r="Z431" s="1722"/>
      <c r="AA431" s="1722"/>
      <c r="AB431" s="1722"/>
      <c r="AC431" s="1722"/>
      <c r="AD431" s="1722"/>
      <c r="AE431" s="1722"/>
      <c r="AL431" s="702"/>
      <c r="AM431"/>
      <c r="AN431" s="279"/>
    </row>
    <row r="432" spans="1:55" s="4" customFormat="1" ht="12.75" customHeight="1">
      <c r="A432" s="5"/>
      <c r="B432" s="73"/>
      <c r="C432" s="1718" t="s">
        <v>108</v>
      </c>
      <c r="D432" s="1084"/>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8" t="s">
        <v>319</v>
      </c>
      <c r="AG432" s="1708"/>
      <c r="AH432" s="1708"/>
      <c r="AI432" s="1708"/>
      <c r="AJ432" s="1708"/>
      <c r="AK432" s="1708"/>
      <c r="AL432" s="1724"/>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21" t="s">
        <v>1780</v>
      </c>
      <c r="G435" s="1721"/>
      <c r="H435" s="1721"/>
      <c r="I435" s="1721"/>
      <c r="J435" s="1721"/>
      <c r="K435" s="1721"/>
      <c r="L435" s="1721"/>
      <c r="M435" s="1721"/>
      <c r="N435" s="1721"/>
      <c r="O435" s="1721"/>
      <c r="P435" s="1721"/>
      <c r="Q435" s="1721"/>
      <c r="R435" s="1721"/>
      <c r="S435" s="1721"/>
      <c r="T435" s="1721"/>
      <c r="U435" s="1721"/>
      <c r="V435" s="1721"/>
      <c r="W435" s="1721"/>
      <c r="X435" s="1721"/>
      <c r="Y435" s="1721"/>
      <c r="Z435" s="1721"/>
      <c r="AA435" s="1721"/>
      <c r="AB435" s="1721"/>
      <c r="AC435" s="1721"/>
      <c r="AD435" s="1721"/>
      <c r="AE435" s="1721"/>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22"/>
      <c r="G436" s="1722"/>
      <c r="H436" s="1722"/>
      <c r="I436" s="1722"/>
      <c r="J436" s="1722"/>
      <c r="K436" s="1722"/>
      <c r="L436" s="1722"/>
      <c r="M436" s="1722"/>
      <c r="N436" s="1722"/>
      <c r="O436" s="1722"/>
      <c r="P436" s="1722"/>
      <c r="Q436" s="1722"/>
      <c r="R436" s="1722"/>
      <c r="S436" s="1722"/>
      <c r="T436" s="1722"/>
      <c r="U436" s="1722"/>
      <c r="V436" s="1722"/>
      <c r="W436" s="1722"/>
      <c r="X436" s="1722"/>
      <c r="Y436" s="1722"/>
      <c r="Z436" s="1722"/>
      <c r="AA436" s="1722"/>
      <c r="AB436" s="1722"/>
      <c r="AC436" s="1722"/>
      <c r="AD436" s="1722"/>
      <c r="AE436" s="1722"/>
      <c r="AF436" s="106"/>
      <c r="AG436" s="106"/>
      <c r="AH436" s="106"/>
      <c r="AI436" s="106"/>
      <c r="AJ436" s="106"/>
      <c r="AK436" s="106"/>
      <c r="AL436" s="781"/>
      <c r="AM436"/>
      <c r="AO436" s="4"/>
      <c r="AP436" s="4"/>
    </row>
    <row r="437" spans="1:60" s="4" customFormat="1" ht="12.75" customHeight="1">
      <c r="A437" s="5"/>
      <c r="B437" s="73"/>
      <c r="C437" s="719"/>
      <c r="D437" s="73"/>
      <c r="E437" s="192"/>
      <c r="F437" s="1722"/>
      <c r="G437" s="1722"/>
      <c r="H437" s="1722"/>
      <c r="I437" s="1722"/>
      <c r="J437" s="1722"/>
      <c r="K437" s="1722"/>
      <c r="L437" s="1722"/>
      <c r="M437" s="1722"/>
      <c r="N437" s="1722"/>
      <c r="O437" s="1722"/>
      <c r="P437" s="1722"/>
      <c r="Q437" s="1722"/>
      <c r="R437" s="1722"/>
      <c r="S437" s="1722"/>
      <c r="T437" s="1722"/>
      <c r="U437" s="1722"/>
      <c r="V437" s="1722"/>
      <c r="W437" s="1722"/>
      <c r="X437" s="1722"/>
      <c r="Y437" s="1722"/>
      <c r="Z437" s="1722"/>
      <c r="AA437" s="1722"/>
      <c r="AB437" s="1722"/>
      <c r="AC437" s="1722"/>
      <c r="AD437" s="1722"/>
      <c r="AE437" s="1722"/>
      <c r="AF437" s="106"/>
      <c r="AG437" s="106"/>
      <c r="AH437" s="106"/>
      <c r="AI437" s="106"/>
      <c r="AJ437" s="106"/>
      <c r="AK437" s="106"/>
      <c r="AL437" s="781"/>
      <c r="AM437"/>
      <c r="AN437" s="279"/>
    </row>
    <row r="438" spans="1:60" s="4" customFormat="1" ht="12.75" customHeight="1">
      <c r="A438" s="5"/>
      <c r="B438" s="73"/>
      <c r="C438" s="720"/>
      <c r="D438" s="1"/>
      <c r="E438" s="223"/>
      <c r="F438" s="1722"/>
      <c r="G438" s="1722"/>
      <c r="H438" s="1722"/>
      <c r="I438" s="1722"/>
      <c r="J438" s="1722"/>
      <c r="K438" s="1722"/>
      <c r="L438" s="1722"/>
      <c r="M438" s="1722"/>
      <c r="N438" s="1722"/>
      <c r="O438" s="1722"/>
      <c r="P438" s="1722"/>
      <c r="Q438" s="1722"/>
      <c r="R438" s="1722"/>
      <c r="S438" s="1722"/>
      <c r="T438" s="1722"/>
      <c r="U438" s="1722"/>
      <c r="V438" s="1722"/>
      <c r="W438" s="1722"/>
      <c r="X438" s="1722"/>
      <c r="Y438" s="1722"/>
      <c r="Z438" s="1722"/>
      <c r="AA438" s="1722"/>
      <c r="AB438" s="1722"/>
      <c r="AC438" s="1722"/>
      <c r="AD438" s="1722"/>
      <c r="AE438" s="1722"/>
      <c r="AF438" s="106"/>
      <c r="AG438" s="106"/>
      <c r="AH438" s="106"/>
      <c r="AI438" s="106"/>
      <c r="AJ438" s="106"/>
      <c r="AK438" s="106"/>
      <c r="AL438" s="781"/>
      <c r="AM438"/>
      <c r="AN438" s="279"/>
      <c r="AO438" s="38"/>
      <c r="AP438" s="21"/>
    </row>
    <row r="439" spans="1:60" s="4" customFormat="1" ht="12.75" customHeight="1">
      <c r="A439" s="5"/>
      <c r="B439" s="73"/>
      <c r="C439" s="720"/>
      <c r="D439" s="1"/>
      <c r="E439" s="223"/>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06"/>
      <c r="AG439" s="106"/>
      <c r="AH439" s="106"/>
      <c r="AI439" s="106"/>
      <c r="AJ439" s="106"/>
      <c r="AK439" s="106"/>
      <c r="AL439" s="781"/>
      <c r="AM439"/>
      <c r="AN439" s="279"/>
    </row>
    <row r="440" spans="1:60" s="4" customFormat="1" ht="12.75" customHeight="1">
      <c r="A440" s="5"/>
      <c r="B440" s="73"/>
      <c r="C440" s="720"/>
      <c r="D440" s="1"/>
      <c r="E440" s="223"/>
      <c r="F440" s="1722"/>
      <c r="G440" s="1722"/>
      <c r="H440" s="1722"/>
      <c r="I440" s="1722"/>
      <c r="J440" s="1722"/>
      <c r="K440" s="1722"/>
      <c r="L440" s="1722"/>
      <c r="M440" s="1722"/>
      <c r="N440" s="1722"/>
      <c r="O440" s="1722"/>
      <c r="P440" s="1722"/>
      <c r="Q440" s="1722"/>
      <c r="R440" s="1722"/>
      <c r="S440" s="1722"/>
      <c r="T440" s="1722"/>
      <c r="U440" s="1722"/>
      <c r="V440" s="1722"/>
      <c r="W440" s="1722"/>
      <c r="X440" s="1722"/>
      <c r="Y440" s="1722"/>
      <c r="Z440" s="1722"/>
      <c r="AA440" s="1722"/>
      <c r="AB440" s="1722"/>
      <c r="AC440" s="1722"/>
      <c r="AD440" s="1722"/>
      <c r="AE440" s="1722"/>
      <c r="AF440" s="106"/>
      <c r="AG440" s="106"/>
      <c r="AH440" s="106"/>
      <c r="AI440" s="106"/>
      <c r="AJ440" s="106"/>
      <c r="AK440" s="106"/>
      <c r="AL440" s="781"/>
      <c r="AM440"/>
      <c r="AN440" s="279"/>
    </row>
    <row r="441" spans="1:60" s="4" customFormat="1" ht="12.75" customHeight="1">
      <c r="A441" s="5"/>
      <c r="B441" s="73"/>
      <c r="C441" s="720"/>
      <c r="D441" s="1"/>
      <c r="E441" s="223"/>
      <c r="F441" s="1722"/>
      <c r="G441" s="1722"/>
      <c r="H441" s="1722"/>
      <c r="I441" s="1722"/>
      <c r="J441" s="1722"/>
      <c r="K441" s="1722"/>
      <c r="L441" s="1722"/>
      <c r="M441" s="1722"/>
      <c r="N441" s="1722"/>
      <c r="O441" s="1722"/>
      <c r="P441" s="1722"/>
      <c r="Q441" s="1722"/>
      <c r="R441" s="1722"/>
      <c r="S441" s="1722"/>
      <c r="T441" s="1722"/>
      <c r="U441" s="1722"/>
      <c r="V441" s="1722"/>
      <c r="W441" s="1722"/>
      <c r="X441" s="1722"/>
      <c r="Y441" s="1722"/>
      <c r="Z441" s="1722"/>
      <c r="AA441" s="1722"/>
      <c r="AB441" s="1722"/>
      <c r="AC441" s="1722"/>
      <c r="AD441" s="1722"/>
      <c r="AE441" s="1722"/>
      <c r="AF441" s="106"/>
      <c r="AG441" s="106"/>
      <c r="AH441" s="106"/>
      <c r="AI441" s="106"/>
      <c r="AJ441" s="106"/>
      <c r="AK441" s="106"/>
      <c r="AL441" s="781"/>
      <c r="AM441"/>
      <c r="AN441" s="279"/>
    </row>
    <row r="442" spans="1:60" s="4" customFormat="1" ht="12.75" customHeight="1">
      <c r="A442" s="5"/>
      <c r="B442" s="73"/>
      <c r="C442" s="720"/>
      <c r="D442" s="1"/>
      <c r="E442" s="223"/>
      <c r="F442" s="1722"/>
      <c r="G442" s="1722"/>
      <c r="H442" s="1722"/>
      <c r="I442" s="1722"/>
      <c r="J442" s="1722"/>
      <c r="K442" s="1722"/>
      <c r="L442" s="1722"/>
      <c r="M442" s="1722"/>
      <c r="N442" s="1722"/>
      <c r="O442" s="1722"/>
      <c r="P442" s="1722"/>
      <c r="Q442" s="1722"/>
      <c r="R442" s="1722"/>
      <c r="S442" s="1722"/>
      <c r="T442" s="1722"/>
      <c r="U442" s="1722"/>
      <c r="V442" s="1722"/>
      <c r="W442" s="1722"/>
      <c r="X442" s="1722"/>
      <c r="Y442" s="1722"/>
      <c r="Z442" s="1722"/>
      <c r="AA442" s="1722"/>
      <c r="AB442" s="1722"/>
      <c r="AC442" s="1722"/>
      <c r="AD442" s="1722"/>
      <c r="AE442" s="1722"/>
      <c r="AF442" s="106"/>
      <c r="AG442" s="106"/>
      <c r="AH442" s="106"/>
      <c r="AI442" s="106"/>
      <c r="AJ442" s="106"/>
      <c r="AK442" s="106"/>
      <c r="AL442" s="781"/>
      <c r="AM442"/>
      <c r="AN442" s="279"/>
    </row>
    <row r="443" spans="1:60" s="4" customFormat="1" ht="17.25" customHeight="1">
      <c r="A443" s="5"/>
      <c r="B443" s="73"/>
      <c r="C443" s="720"/>
      <c r="D443" s="1"/>
      <c r="E443" s="223"/>
      <c r="F443" s="1722"/>
      <c r="G443" s="1722"/>
      <c r="H443" s="1722"/>
      <c r="I443" s="1722"/>
      <c r="J443" s="1722"/>
      <c r="K443" s="1722"/>
      <c r="L443" s="1722"/>
      <c r="M443" s="1722"/>
      <c r="N443" s="1722"/>
      <c r="O443" s="1722"/>
      <c r="P443" s="1722"/>
      <c r="Q443" s="1722"/>
      <c r="R443" s="1722"/>
      <c r="S443" s="1722"/>
      <c r="T443" s="1722"/>
      <c r="U443" s="1722"/>
      <c r="V443" s="1722"/>
      <c r="W443" s="1722"/>
      <c r="X443" s="1722"/>
      <c r="Y443" s="1722"/>
      <c r="Z443" s="1722"/>
      <c r="AA443" s="1722"/>
      <c r="AB443" s="1722"/>
      <c r="AC443" s="1722"/>
      <c r="AD443" s="1722"/>
      <c r="AE443" s="1722"/>
      <c r="AL443" s="702"/>
      <c r="AM443"/>
      <c r="AN443" s="279"/>
    </row>
    <row r="444" spans="1:60" s="4" customFormat="1" ht="12.75" customHeight="1">
      <c r="A444" s="5"/>
      <c r="B444" s="21"/>
      <c r="C444" s="1718" t="s">
        <v>108</v>
      </c>
      <c r="D444" s="1084"/>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8" t="s">
        <v>319</v>
      </c>
      <c r="AG444" s="1708"/>
      <c r="AH444" s="1708"/>
      <c r="AI444" s="1708"/>
      <c r="AJ444" s="1708"/>
      <c r="AK444" s="1708"/>
      <c r="AL444" s="1724"/>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21" t="s">
        <v>1783</v>
      </c>
      <c r="G447" s="1721"/>
      <c r="H447" s="1721"/>
      <c r="I447" s="1721"/>
      <c r="J447" s="1721"/>
      <c r="K447" s="1721"/>
      <c r="L447" s="1721"/>
      <c r="M447" s="1721"/>
      <c r="N447" s="1721"/>
      <c r="O447" s="1721"/>
      <c r="P447" s="1721"/>
      <c r="Q447" s="1721"/>
      <c r="R447" s="1721"/>
      <c r="S447" s="1721"/>
      <c r="T447" s="1721"/>
      <c r="U447" s="1721"/>
      <c r="V447" s="1721"/>
      <c r="W447" s="1721"/>
      <c r="X447" s="1721"/>
      <c r="Y447" s="1721"/>
      <c r="Z447" s="1721"/>
      <c r="AA447" s="1721"/>
      <c r="AB447" s="1721"/>
      <c r="AC447" s="1721"/>
      <c r="AD447" s="1721"/>
      <c r="AE447" s="1721"/>
      <c r="AF447" s="694"/>
      <c r="AG447" s="694"/>
      <c r="AH447" s="694"/>
      <c r="AI447" s="694"/>
      <c r="AJ447" s="694"/>
      <c r="AK447" s="694"/>
      <c r="AL447" s="718"/>
      <c r="AM447"/>
      <c r="AN447" s="279"/>
    </row>
    <row r="448" spans="1:60" s="4" customFormat="1" ht="12.75" customHeight="1">
      <c r="A448" s="5"/>
      <c r="B448" s="73"/>
      <c r="C448" s="720"/>
      <c r="D448" s="1"/>
      <c r="E448" s="223"/>
      <c r="F448" s="1722"/>
      <c r="G448" s="1722"/>
      <c r="H448" s="1722"/>
      <c r="I448" s="1722"/>
      <c r="J448" s="1722"/>
      <c r="K448" s="1722"/>
      <c r="L448" s="1722"/>
      <c r="M448" s="1722"/>
      <c r="N448" s="1722"/>
      <c r="O448" s="1722"/>
      <c r="P448" s="1722"/>
      <c r="Q448" s="1722"/>
      <c r="R448" s="1722"/>
      <c r="S448" s="1722"/>
      <c r="T448" s="1722"/>
      <c r="U448" s="1722"/>
      <c r="V448" s="1722"/>
      <c r="W448" s="1722"/>
      <c r="X448" s="1722"/>
      <c r="Y448" s="1722"/>
      <c r="Z448" s="1722"/>
      <c r="AA448" s="1722"/>
      <c r="AB448" s="1722"/>
      <c r="AC448" s="1722"/>
      <c r="AD448" s="1722"/>
      <c r="AE448" s="1722"/>
      <c r="AF448" s="18"/>
      <c r="AG448" s="18"/>
      <c r="AH448" s="18"/>
      <c r="AI448" s="18"/>
      <c r="AJ448" s="18"/>
      <c r="AK448" s="18"/>
      <c r="AL448" s="778"/>
      <c r="AM448"/>
      <c r="AN448" s="279"/>
    </row>
    <row r="449" spans="1:49" s="4" customFormat="1" ht="12.75" customHeight="1">
      <c r="A449" s="5"/>
      <c r="B449" s="73"/>
      <c r="C449" s="720"/>
      <c r="D449" s="1"/>
      <c r="E449" s="223"/>
      <c r="F449" s="1722"/>
      <c r="G449" s="1722"/>
      <c r="H449" s="1722"/>
      <c r="I449" s="1722"/>
      <c r="J449" s="1722"/>
      <c r="K449" s="1722"/>
      <c r="L449" s="1722"/>
      <c r="M449" s="1722"/>
      <c r="N449" s="1722"/>
      <c r="O449" s="1722"/>
      <c r="P449" s="1722"/>
      <c r="Q449" s="1722"/>
      <c r="R449" s="1722"/>
      <c r="S449" s="1722"/>
      <c r="T449" s="1722"/>
      <c r="U449" s="1722"/>
      <c r="V449" s="1722"/>
      <c r="W449" s="1722"/>
      <c r="X449" s="1722"/>
      <c r="Y449" s="1722"/>
      <c r="Z449" s="1722"/>
      <c r="AA449" s="1722"/>
      <c r="AB449" s="1722"/>
      <c r="AC449" s="1722"/>
      <c r="AD449" s="1722"/>
      <c r="AE449" s="1722"/>
      <c r="AF449" s="18"/>
      <c r="AG449" s="18"/>
      <c r="AH449" s="18"/>
      <c r="AI449" s="18"/>
      <c r="AJ449" s="18"/>
      <c r="AK449" s="18"/>
      <c r="AL449" s="778"/>
      <c r="AM449"/>
      <c r="AN449" s="279"/>
    </row>
    <row r="450" spans="1:49" s="4" customFormat="1" ht="12.75" customHeight="1">
      <c r="A450" s="5"/>
      <c r="B450" s="73"/>
      <c r="C450" s="720"/>
      <c r="D450" s="1"/>
      <c r="E450" s="223"/>
      <c r="F450" s="1722"/>
      <c r="G450" s="1722"/>
      <c r="H450" s="1722"/>
      <c r="I450" s="1722"/>
      <c r="J450" s="1722"/>
      <c r="K450" s="1722"/>
      <c r="L450" s="1722"/>
      <c r="M450" s="1722"/>
      <c r="N450" s="1722"/>
      <c r="O450" s="1722"/>
      <c r="P450" s="1722"/>
      <c r="Q450" s="1722"/>
      <c r="R450" s="1722"/>
      <c r="S450" s="1722"/>
      <c r="T450" s="1722"/>
      <c r="U450" s="1722"/>
      <c r="V450" s="1722"/>
      <c r="W450" s="1722"/>
      <c r="X450" s="1722"/>
      <c r="Y450" s="1722"/>
      <c r="Z450" s="1722"/>
      <c r="AA450" s="1722"/>
      <c r="AB450" s="1722"/>
      <c r="AC450" s="1722"/>
      <c r="AD450" s="1722"/>
      <c r="AE450" s="1722"/>
      <c r="AL450" s="702"/>
      <c r="AM450"/>
      <c r="AN450" s="279"/>
    </row>
    <row r="451" spans="1:49" s="4" customFormat="1" ht="12.75" customHeight="1">
      <c r="A451" s="5"/>
      <c r="B451" s="73"/>
      <c r="C451" s="1718" t="s">
        <v>124</v>
      </c>
      <c r="D451" s="1084"/>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8" t="s">
        <v>319</v>
      </c>
      <c r="AG451" s="1708"/>
      <c r="AH451" s="1708"/>
      <c r="AI451" s="1708"/>
      <c r="AJ451" s="1708"/>
      <c r="AK451" s="1708"/>
      <c r="AL451" s="1724"/>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33" t="s">
        <v>124</v>
      </c>
      <c r="D455" s="1734"/>
      <c r="E455" s="695" t="s">
        <v>967</v>
      </c>
      <c r="F455" s="1721" t="s">
        <v>969</v>
      </c>
      <c r="G455" s="1721"/>
      <c r="H455" s="1721"/>
      <c r="I455" s="1721"/>
      <c r="J455" s="1721"/>
      <c r="K455" s="1721"/>
      <c r="L455" s="1721"/>
      <c r="M455" s="1721"/>
      <c r="N455" s="1721"/>
      <c r="O455" s="1721"/>
      <c r="P455" s="1721"/>
      <c r="Q455" s="1721"/>
      <c r="R455" s="1721"/>
      <c r="S455" s="1721"/>
      <c r="T455" s="1721"/>
      <c r="U455" s="1721"/>
      <c r="V455" s="1721"/>
      <c r="W455" s="1721"/>
      <c r="X455" s="1721"/>
      <c r="Y455" s="1721"/>
      <c r="Z455" s="1721"/>
      <c r="AA455" s="1721"/>
      <c r="AB455" s="1721"/>
      <c r="AC455" s="1721"/>
      <c r="AD455" s="1721"/>
      <c r="AE455" s="1721"/>
      <c r="AF455" s="1741" t="s">
        <v>319</v>
      </c>
      <c r="AG455" s="1741"/>
      <c r="AH455" s="1741"/>
      <c r="AI455" s="1741"/>
      <c r="AJ455" s="1741"/>
      <c r="AK455" s="1741"/>
      <c r="AL455" s="1742"/>
      <c r="AM455"/>
      <c r="AN455" s="671"/>
      <c r="AQ455" s="164"/>
    </row>
    <row r="456" spans="1:49" s="4" customFormat="1" ht="12.75" customHeight="1">
      <c r="A456" s="5"/>
      <c r="B456" s="73"/>
      <c r="C456" s="720"/>
      <c r="D456" s="1"/>
      <c r="E456" s="223"/>
      <c r="F456" s="1722"/>
      <c r="G456" s="1722"/>
      <c r="H456" s="1722"/>
      <c r="I456" s="1722"/>
      <c r="J456" s="1722"/>
      <c r="K456" s="1722"/>
      <c r="L456" s="1722"/>
      <c r="M456" s="1722"/>
      <c r="N456" s="1722"/>
      <c r="O456" s="1722"/>
      <c r="P456" s="1722"/>
      <c r="Q456" s="1722"/>
      <c r="R456" s="1722"/>
      <c r="S456" s="1722"/>
      <c r="T456" s="1722"/>
      <c r="U456" s="1722"/>
      <c r="V456" s="1722"/>
      <c r="W456" s="1722"/>
      <c r="X456" s="1722"/>
      <c r="Y456" s="1722"/>
      <c r="Z456" s="1722"/>
      <c r="AA456" s="1722"/>
      <c r="AB456" s="1722"/>
      <c r="AC456" s="1722"/>
      <c r="AD456" s="1722"/>
      <c r="AE456" s="1722"/>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23"/>
      <c r="G457" s="1723"/>
      <c r="H457" s="1723"/>
      <c r="I457" s="1723"/>
      <c r="J457" s="1723"/>
      <c r="K457" s="1723"/>
      <c r="L457" s="1723"/>
      <c r="M457" s="1723"/>
      <c r="N457" s="1723"/>
      <c r="O457" s="1723"/>
      <c r="P457" s="1723"/>
      <c r="Q457" s="1723"/>
      <c r="R457" s="1723"/>
      <c r="S457" s="1723"/>
      <c r="T457" s="1723"/>
      <c r="U457" s="1723"/>
      <c r="V457" s="1723"/>
      <c r="W457" s="1723"/>
      <c r="X457" s="1723"/>
      <c r="Y457" s="1723"/>
      <c r="Z457" s="1723"/>
      <c r="AA457" s="1723"/>
      <c r="AB457" s="1723"/>
      <c r="AC457" s="1723"/>
      <c r="AD457" s="1723"/>
      <c r="AE457" s="1723"/>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33" t="s">
        <v>124</v>
      </c>
      <c r="D459" s="1734"/>
      <c r="E459" s="695" t="s">
        <v>968</v>
      </c>
      <c r="F459" s="1721" t="s">
        <v>1820</v>
      </c>
      <c r="G459" s="1721"/>
      <c r="H459" s="1721"/>
      <c r="I459" s="1721"/>
      <c r="J459" s="1721"/>
      <c r="K459" s="1721"/>
      <c r="L459" s="1721"/>
      <c r="M459" s="1721"/>
      <c r="N459" s="1721"/>
      <c r="O459" s="1721"/>
      <c r="P459" s="1721"/>
      <c r="Q459" s="1721"/>
      <c r="R459" s="1721"/>
      <c r="S459" s="1721"/>
      <c r="T459" s="1721"/>
      <c r="U459" s="1721"/>
      <c r="V459" s="1721"/>
      <c r="W459" s="1721"/>
      <c r="X459" s="1721"/>
      <c r="Y459" s="1721"/>
      <c r="Z459" s="1721"/>
      <c r="AA459" s="1721"/>
      <c r="AB459" s="1721"/>
      <c r="AC459" s="1721"/>
      <c r="AD459" s="1721"/>
      <c r="AE459" s="1721"/>
      <c r="AF459" s="1741" t="s">
        <v>319</v>
      </c>
      <c r="AG459" s="1741"/>
      <c r="AH459" s="1741"/>
      <c r="AI459" s="1741"/>
      <c r="AJ459" s="1741"/>
      <c r="AK459" s="1741"/>
      <c r="AL459" s="1742"/>
      <c r="AM459"/>
      <c r="AN459" s="667"/>
      <c r="AO459" s="4" t="s">
        <v>1334</v>
      </c>
      <c r="AP459" s="4">
        <v>5</v>
      </c>
      <c r="AQ459" s="5"/>
    </row>
    <row r="460" spans="1:49" s="4" customFormat="1" ht="12.75" customHeight="1">
      <c r="A460" s="5"/>
      <c r="B460" s="21"/>
      <c r="C460" s="701"/>
      <c r="D460" s="21"/>
      <c r="E460" s="192"/>
      <c r="F460" s="1722"/>
      <c r="G460" s="1722"/>
      <c r="H460" s="1722"/>
      <c r="I460" s="1722"/>
      <c r="J460" s="1722"/>
      <c r="K460" s="1722"/>
      <c r="L460" s="1722"/>
      <c r="M460" s="1722"/>
      <c r="N460" s="1722"/>
      <c r="O460" s="1722"/>
      <c r="P460" s="1722"/>
      <c r="Q460" s="1722"/>
      <c r="R460" s="1722"/>
      <c r="S460" s="1722"/>
      <c r="T460" s="1722"/>
      <c r="U460" s="1722"/>
      <c r="V460" s="1722"/>
      <c r="W460" s="1722"/>
      <c r="X460" s="1722"/>
      <c r="Y460" s="1722"/>
      <c r="Z460" s="1722"/>
      <c r="AA460" s="1722"/>
      <c r="AB460" s="1722"/>
      <c r="AC460" s="1722"/>
      <c r="AD460" s="1722"/>
      <c r="AE460" s="1722"/>
      <c r="AF460" s="3"/>
      <c r="AG460" s="5"/>
      <c r="AL460" s="702"/>
      <c r="AM460"/>
      <c r="AN460" s="667"/>
      <c r="AO460" s="4" t="s">
        <v>1330</v>
      </c>
      <c r="AP460" s="4">
        <v>5</v>
      </c>
    </row>
    <row r="461" spans="1:49" s="4" customFormat="1" ht="12.75" customHeight="1">
      <c r="A461" s="5"/>
      <c r="B461" s="21"/>
      <c r="C461" s="701"/>
      <c r="D461" s="21"/>
      <c r="E461" s="192"/>
      <c r="F461" s="1722"/>
      <c r="G461" s="1722"/>
      <c r="H461" s="1722"/>
      <c r="I461" s="1722"/>
      <c r="J461" s="1722"/>
      <c r="K461" s="1722"/>
      <c r="L461" s="1722"/>
      <c r="M461" s="1722"/>
      <c r="N461" s="1722"/>
      <c r="O461" s="1722"/>
      <c r="P461" s="1722"/>
      <c r="Q461" s="1722"/>
      <c r="R461" s="1722"/>
      <c r="S461" s="1722"/>
      <c r="T461" s="1722"/>
      <c r="U461" s="1722"/>
      <c r="V461" s="1722"/>
      <c r="W461" s="1722"/>
      <c r="X461" s="1722"/>
      <c r="Y461" s="1722"/>
      <c r="Z461" s="1722"/>
      <c r="AA461" s="1722"/>
      <c r="AB461" s="1722"/>
      <c r="AC461" s="1722"/>
      <c r="AD461" s="1722"/>
      <c r="AE461" s="1722"/>
      <c r="AF461" s="3"/>
      <c r="AG461" s="5"/>
      <c r="AL461" s="702"/>
      <c r="AM461"/>
      <c r="AN461" s="667"/>
      <c r="AO461" s="4" t="s">
        <v>1331</v>
      </c>
      <c r="AP461" s="4">
        <v>5</v>
      </c>
    </row>
    <row r="462" spans="1:49" s="4" customFormat="1" ht="4.5" customHeight="1">
      <c r="A462" s="5"/>
      <c r="B462" s="73"/>
      <c r="C462" s="697"/>
      <c r="D462" s="698"/>
      <c r="E462" s="699"/>
      <c r="F462" s="1723"/>
      <c r="G462" s="1723"/>
      <c r="H462" s="1723"/>
      <c r="I462" s="1723"/>
      <c r="J462" s="1723"/>
      <c r="K462" s="1723"/>
      <c r="L462" s="1723"/>
      <c r="M462" s="1723"/>
      <c r="N462" s="1723"/>
      <c r="O462" s="1723"/>
      <c r="P462" s="1723"/>
      <c r="Q462" s="1723"/>
      <c r="R462" s="1723"/>
      <c r="S462" s="1723"/>
      <c r="T462" s="1723"/>
      <c r="U462" s="1723"/>
      <c r="V462" s="1723"/>
      <c r="W462" s="1723"/>
      <c r="X462" s="1723"/>
      <c r="Y462" s="1723"/>
      <c r="Z462" s="1723"/>
      <c r="AA462" s="1723"/>
      <c r="AB462" s="1723"/>
      <c r="AC462" s="1723"/>
      <c r="AD462" s="1723"/>
      <c r="AE462" s="1723"/>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21" t="s">
        <v>1821</v>
      </c>
      <c r="G464" s="1721"/>
      <c r="H464" s="1721"/>
      <c r="I464" s="1721"/>
      <c r="J464" s="1721"/>
      <c r="K464" s="1721"/>
      <c r="L464" s="1721"/>
      <c r="M464" s="1721"/>
      <c r="N464" s="1721"/>
      <c r="O464" s="1721"/>
      <c r="P464" s="1721"/>
      <c r="Q464" s="1721"/>
      <c r="R464" s="1721"/>
      <c r="S464" s="1721"/>
      <c r="T464" s="1721"/>
      <c r="U464" s="1721"/>
      <c r="V464" s="1721"/>
      <c r="W464" s="1721"/>
      <c r="X464" s="1721"/>
      <c r="Y464" s="1721"/>
      <c r="Z464" s="1721"/>
      <c r="AA464" s="1721"/>
      <c r="AB464" s="1721"/>
      <c r="AC464" s="1721"/>
      <c r="AD464" s="1721"/>
      <c r="AE464" s="1721"/>
      <c r="AF464" s="1721"/>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722"/>
      <c r="G465" s="1722"/>
      <c r="H465" s="1722"/>
      <c r="I465" s="1722"/>
      <c r="J465" s="1722"/>
      <c r="K465" s="1722"/>
      <c r="L465" s="1722"/>
      <c r="M465" s="1722"/>
      <c r="N465" s="1722"/>
      <c r="O465" s="1722"/>
      <c r="P465" s="1722"/>
      <c r="Q465" s="1722"/>
      <c r="R465" s="1722"/>
      <c r="S465" s="1722"/>
      <c r="T465" s="1722"/>
      <c r="U465" s="1722"/>
      <c r="V465" s="1722"/>
      <c r="W465" s="1722"/>
      <c r="X465" s="1722"/>
      <c r="Y465" s="1722"/>
      <c r="Z465" s="1722"/>
      <c r="AA465" s="1722"/>
      <c r="AB465" s="1722"/>
      <c r="AC465" s="1722"/>
      <c r="AD465" s="1722"/>
      <c r="AE465" s="1722"/>
      <c r="AF465" s="1722"/>
      <c r="AL465" s="702"/>
      <c r="AM465"/>
      <c r="AN465" s="279"/>
      <c r="AS465" s="343"/>
      <c r="AW465" s="343" t="s">
        <v>975</v>
      </c>
      <c r="BA465" s="343" t="s">
        <v>976</v>
      </c>
    </row>
    <row r="466" spans="1:54" s="4" customFormat="1" ht="12.75" customHeight="1">
      <c r="A466" s="5"/>
      <c r="B466" s="21"/>
      <c r="C466" s="704"/>
      <c r="F466" s="1722"/>
      <c r="G466" s="1722"/>
      <c r="H466" s="1722"/>
      <c r="I466" s="1722"/>
      <c r="J466" s="1722"/>
      <c r="K466" s="1722"/>
      <c r="L466" s="1722"/>
      <c r="M466" s="1722"/>
      <c r="N466" s="1722"/>
      <c r="O466" s="1722"/>
      <c r="P466" s="1722"/>
      <c r="Q466" s="1722"/>
      <c r="R466" s="1722"/>
      <c r="S466" s="1722"/>
      <c r="T466" s="1722"/>
      <c r="U466" s="1722"/>
      <c r="V466" s="1722"/>
      <c r="W466" s="1722"/>
      <c r="X466" s="1722"/>
      <c r="Y466" s="1722"/>
      <c r="Z466" s="1722"/>
      <c r="AA466" s="1722"/>
      <c r="AB466" s="1722"/>
      <c r="AC466" s="1722"/>
      <c r="AD466" s="1722"/>
      <c r="AE466" s="1722"/>
      <c r="AF466" s="1722"/>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22"/>
      <c r="G467" s="1722"/>
      <c r="H467" s="1722"/>
      <c r="I467" s="1722"/>
      <c r="J467" s="1722"/>
      <c r="K467" s="1722"/>
      <c r="L467" s="1722"/>
      <c r="M467" s="1722"/>
      <c r="N467" s="1722"/>
      <c r="O467" s="1722"/>
      <c r="P467" s="1722"/>
      <c r="Q467" s="1722"/>
      <c r="R467" s="1722"/>
      <c r="S467" s="1722"/>
      <c r="T467" s="1722"/>
      <c r="U467" s="1722"/>
      <c r="V467" s="1722"/>
      <c r="W467" s="1722"/>
      <c r="X467" s="1722"/>
      <c r="Y467" s="1722"/>
      <c r="Z467" s="1722"/>
      <c r="AA467" s="1722"/>
      <c r="AB467" s="1722"/>
      <c r="AC467" s="1722"/>
      <c r="AD467" s="1722"/>
      <c r="AE467" s="1722"/>
      <c r="AF467" s="1722"/>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18" t="s">
        <v>124</v>
      </c>
      <c r="D468" s="1084"/>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89" t="s">
        <v>319</v>
      </c>
      <c r="AG468" s="1189"/>
      <c r="AH468" s="1189"/>
      <c r="AI468" s="1189"/>
      <c r="AJ468" s="1189"/>
      <c r="AK468" s="1189"/>
      <c r="AL468" s="1725"/>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85">
        <f>IF(AS357=0,AS355,AS357)</f>
        <v>10</v>
      </c>
      <c r="AL474" s="1286"/>
      <c r="AM474" s="1287"/>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189" t="s">
        <v>1257</v>
      </c>
      <c r="AF477" s="1189"/>
      <c r="AG477" s="1189"/>
      <c r="AH477" s="1189"/>
      <c r="AI477" s="1189"/>
      <c r="AJ477" s="1189"/>
      <c r="AK477" s="1189"/>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30" t="s">
        <v>124</v>
      </c>
      <c r="D483" s="1731"/>
      <c r="E483" s="746" t="s">
        <v>195</v>
      </c>
      <c r="F483" s="1709" t="s">
        <v>972</v>
      </c>
      <c r="G483" s="1709"/>
      <c r="H483" s="1709"/>
      <c r="I483" s="1709"/>
      <c r="J483" s="1709"/>
      <c r="K483" s="1709"/>
      <c r="L483" s="1709"/>
      <c r="M483" s="1709"/>
      <c r="N483" s="1709"/>
      <c r="O483" s="1709"/>
      <c r="P483" s="1709"/>
      <c r="Q483" s="1709"/>
      <c r="R483" s="1709"/>
      <c r="S483" s="1709"/>
      <c r="T483" s="1709"/>
      <c r="U483" s="1709"/>
      <c r="V483" s="1709"/>
      <c r="W483" s="1709"/>
      <c r="X483" s="1709"/>
      <c r="Y483" s="1709"/>
      <c r="Z483" s="1709"/>
      <c r="AA483" s="1709"/>
      <c r="AB483" s="1709"/>
      <c r="AC483" s="1709"/>
      <c r="AD483" s="1709"/>
      <c r="AE483" s="1709"/>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710"/>
      <c r="G484" s="1710"/>
      <c r="H484" s="1710"/>
      <c r="I484" s="1710"/>
      <c r="J484" s="1710"/>
      <c r="K484" s="1710"/>
      <c r="L484" s="1710"/>
      <c r="M484" s="1710"/>
      <c r="N484" s="1710"/>
      <c r="O484" s="1710"/>
      <c r="P484" s="1710"/>
      <c r="Q484" s="1710"/>
      <c r="R484" s="1710"/>
      <c r="S484" s="1710"/>
      <c r="T484" s="1710"/>
      <c r="U484" s="1710"/>
      <c r="V484" s="1710"/>
      <c r="W484" s="1710"/>
      <c r="X484" s="1710"/>
      <c r="Y484" s="1710"/>
      <c r="Z484" s="1710"/>
      <c r="AA484" s="1710"/>
      <c r="AB484" s="1710"/>
      <c r="AC484" s="1710"/>
      <c r="AD484" s="1710"/>
      <c r="AE484" s="1710"/>
      <c r="AG484" s="19"/>
      <c r="AH484" s="19"/>
      <c r="AI484" s="19"/>
      <c r="AJ484" s="19"/>
      <c r="AK484" s="702"/>
      <c r="AN484" s="279"/>
      <c r="AO484" s="4" t="s">
        <v>1333</v>
      </c>
      <c r="AP484" s="4">
        <v>1</v>
      </c>
    </row>
    <row r="485" spans="1:50" s="4" customFormat="1" ht="12.75" hidden="1" customHeight="1">
      <c r="C485" s="724"/>
      <c r="D485" s="711"/>
      <c r="E485" s="725"/>
      <c r="F485" s="1739" t="s">
        <v>124</v>
      </c>
      <c r="G485" s="1739"/>
      <c r="H485" s="1739"/>
      <c r="I485" s="1739"/>
      <c r="J485" s="1739"/>
      <c r="K485" s="1739"/>
      <c r="L485" s="1739"/>
      <c r="M485" s="1739"/>
      <c r="N485" s="1739"/>
      <c r="O485" s="1739"/>
      <c r="P485" s="1739"/>
      <c r="Q485" s="1739"/>
      <c r="R485" s="1739"/>
      <c r="S485" s="1739"/>
      <c r="T485" s="1739"/>
      <c r="U485" s="1739"/>
      <c r="V485" s="1739"/>
      <c r="W485" s="1739"/>
      <c r="X485" s="1739"/>
      <c r="Y485" s="1739"/>
      <c r="Z485" s="1739"/>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33" t="s">
        <v>108</v>
      </c>
      <c r="D487" s="1734"/>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707" t="s">
        <v>124</v>
      </c>
      <c r="W490" s="1707"/>
      <c r="X490" s="1707"/>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707" t="s">
        <v>124</v>
      </c>
      <c r="W492" s="1707"/>
      <c r="X492" s="1707"/>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707" t="s">
        <v>124</v>
      </c>
      <c r="W497" s="1707"/>
      <c r="X497" s="1707"/>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428"/>
      <c r="E500" s="1428"/>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707" t="s">
        <v>124</v>
      </c>
      <c r="W501" s="1707"/>
      <c r="X501" s="1707"/>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707" t="s">
        <v>124</v>
      </c>
      <c r="W503" s="1707"/>
      <c r="X503" s="1707"/>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91" t="s">
        <v>657</v>
      </c>
      <c r="AV504" s="1792"/>
      <c r="AW504" s="1792"/>
      <c r="AX504" s="1792"/>
      <c r="AY504" s="1792"/>
      <c r="AZ504" s="1792"/>
      <c r="BA504" s="1792"/>
      <c r="BB504" s="20"/>
      <c r="BC504" s="20"/>
      <c r="BE504" s="4"/>
      <c r="BF504" s="4"/>
      <c r="BG504" s="4"/>
      <c r="BH504" s="4"/>
      <c r="BI504" s="4"/>
      <c r="BJ504" s="1789" t="s">
        <v>30</v>
      </c>
      <c r="BK504" s="1790"/>
      <c r="BL504" s="1790"/>
      <c r="BM504" s="1790"/>
      <c r="BN504" s="1790"/>
      <c r="BO504" s="1790"/>
      <c r="BP504" s="1790"/>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91"/>
      <c r="AV505" s="1792"/>
      <c r="AW505" s="1792"/>
      <c r="AX505" s="1792"/>
      <c r="AY505" s="1792"/>
      <c r="AZ505" s="1792"/>
      <c r="BA505" s="1792"/>
      <c r="BB505" s="20"/>
      <c r="BC505" s="20"/>
      <c r="BE505" s="4"/>
      <c r="BF505" s="4"/>
      <c r="BG505" s="4"/>
      <c r="BH505" s="4"/>
      <c r="BI505" s="4"/>
      <c r="BJ505" s="1789"/>
      <c r="BK505" s="1790"/>
      <c r="BL505" s="1790"/>
      <c r="BM505" s="1790"/>
      <c r="BN505" s="1790"/>
      <c r="BO505" s="1790"/>
      <c r="BP505" s="1790"/>
      <c r="BQ505" s="20"/>
      <c r="BR505" s="4"/>
    </row>
    <row r="506" spans="1:147" customFormat="1" ht="12.75" hidden="1" customHeight="1">
      <c r="A506" s="118"/>
      <c r="B506" s="4"/>
      <c r="C506" s="1730" t="s">
        <v>124</v>
      </c>
      <c r="D506" s="1731"/>
      <c r="E506" s="739" t="s">
        <v>195</v>
      </c>
      <c r="F506" s="1709" t="s">
        <v>972</v>
      </c>
      <c r="G506" s="1709"/>
      <c r="H506" s="1709"/>
      <c r="I506" s="1709"/>
      <c r="J506" s="1709"/>
      <c r="K506" s="1709"/>
      <c r="L506" s="1709"/>
      <c r="M506" s="1709"/>
      <c r="N506" s="1709"/>
      <c r="O506" s="1709"/>
      <c r="P506" s="1709"/>
      <c r="Q506" s="1709"/>
      <c r="R506" s="1709"/>
      <c r="S506" s="1709"/>
      <c r="T506" s="1709"/>
      <c r="U506" s="1709"/>
      <c r="V506" s="1709"/>
      <c r="W506" s="1709"/>
      <c r="X506" s="1709"/>
      <c r="Y506" s="1709"/>
      <c r="Z506" s="1709"/>
      <c r="AA506" s="1709"/>
      <c r="AB506" s="1709"/>
      <c r="AC506" s="1709"/>
      <c r="AD506" s="1709"/>
      <c r="AE506" s="1709"/>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10"/>
      <c r="G507" s="1710"/>
      <c r="H507" s="1710"/>
      <c r="I507" s="1710"/>
      <c r="J507" s="1710"/>
      <c r="K507" s="1710"/>
      <c r="L507" s="1710"/>
      <c r="M507" s="1710"/>
      <c r="N507" s="1710"/>
      <c r="O507" s="1710"/>
      <c r="P507" s="1710"/>
      <c r="Q507" s="1710"/>
      <c r="R507" s="1710"/>
      <c r="S507" s="1710"/>
      <c r="T507" s="1710"/>
      <c r="U507" s="1710"/>
      <c r="V507" s="1710"/>
      <c r="W507" s="1710"/>
      <c r="X507" s="1710"/>
      <c r="Y507" s="1710"/>
      <c r="Z507" s="1710"/>
      <c r="AA507" s="1710"/>
      <c r="AB507" s="1710"/>
      <c r="AC507" s="1710"/>
      <c r="AD507" s="1710"/>
      <c r="AE507" s="1710"/>
      <c r="AF507" s="4"/>
      <c r="AG507" s="19"/>
      <c r="AH507" s="19"/>
      <c r="AI507" s="19"/>
      <c r="AJ507" s="19"/>
      <c r="AK507" s="702"/>
      <c r="AL507" s="4"/>
      <c r="AM507" s="4"/>
      <c r="AN507" s="666"/>
      <c r="AO507" s="38"/>
      <c r="AP507" s="1531" t="s">
        <v>1496</v>
      </c>
      <c r="AQ507" s="1532"/>
      <c r="AR507" s="1533"/>
      <c r="AS507" s="621">
        <v>80</v>
      </c>
      <c r="AT507" s="4">
        <v>0</v>
      </c>
      <c r="AU507" s="158">
        <v>10</v>
      </c>
      <c r="AV507" s="158">
        <v>25</v>
      </c>
      <c r="AW507" s="158">
        <v>37.5</v>
      </c>
      <c r="AX507" s="158">
        <v>35</v>
      </c>
      <c r="AY507" s="158">
        <v>37.5</v>
      </c>
      <c r="AZ507" s="158">
        <v>50</v>
      </c>
      <c r="BA507" s="158">
        <v>50</v>
      </c>
      <c r="BB507" s="21"/>
      <c r="BC507" s="21"/>
      <c r="BE507" s="1531" t="s">
        <v>1496</v>
      </c>
      <c r="BF507" s="1532"/>
      <c r="BG507" s="1533"/>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37" t="s">
        <v>124</v>
      </c>
      <c r="G508" s="1737"/>
      <c r="H508" s="1737"/>
      <c r="I508" s="1737"/>
      <c r="J508" s="1737"/>
      <c r="K508" s="1737"/>
      <c r="L508" s="1737"/>
      <c r="M508" s="1737"/>
      <c r="N508" s="1737"/>
      <c r="O508" s="1737"/>
      <c r="P508" s="1737"/>
      <c r="Q508" s="1737"/>
      <c r="R508" s="1737"/>
      <c r="S508" s="1737"/>
      <c r="T508" s="1737"/>
      <c r="U508" s="1737"/>
      <c r="V508" s="1737"/>
      <c r="W508" s="1737"/>
      <c r="X508" s="1737"/>
      <c r="Y508" s="1737"/>
      <c r="Z508" s="1737"/>
      <c r="AA508" s="726"/>
      <c r="AB508" s="727"/>
      <c r="AC508" s="727"/>
      <c r="AD508" s="711"/>
      <c r="AE508" s="711"/>
      <c r="AF508" s="711"/>
      <c r="AG508" s="728">
        <f>IF($C$506="Yes",(VLOOKUP($F$508,$AO$476:$AP$484,2,FALSE)),0)</f>
        <v>0</v>
      </c>
      <c r="AH508" s="729" t="s">
        <v>974</v>
      </c>
      <c r="AI508" s="728"/>
      <c r="AJ508" s="727"/>
      <c r="AK508" s="712"/>
      <c r="AL508" s="4"/>
      <c r="AM508" s="4"/>
      <c r="AN508" s="666"/>
      <c r="AO508" s="38"/>
      <c r="AP508" s="1534"/>
      <c r="AQ508" s="1535"/>
      <c r="AR508" s="1536"/>
      <c r="AS508" s="621">
        <v>75</v>
      </c>
      <c r="AT508" s="4">
        <v>0</v>
      </c>
      <c r="AU508" s="158">
        <v>10</v>
      </c>
      <c r="AV508" s="158">
        <v>25</v>
      </c>
      <c r="AW508" s="158">
        <v>37.5</v>
      </c>
      <c r="AX508" s="158">
        <v>35</v>
      </c>
      <c r="AY508" s="158">
        <v>37.5</v>
      </c>
      <c r="AZ508" s="158">
        <v>50</v>
      </c>
      <c r="BA508" s="158">
        <v>50</v>
      </c>
      <c r="BB508" s="21"/>
      <c r="BC508" s="21"/>
      <c r="BE508" s="1534"/>
      <c r="BF508" s="1535"/>
      <c r="BG508" s="1536"/>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34"/>
      <c r="AQ509" s="1535"/>
      <c r="AR509" s="1536"/>
      <c r="AS509" s="621">
        <v>70</v>
      </c>
      <c r="AT509" s="4">
        <v>0</v>
      </c>
      <c r="AU509" s="158">
        <v>10</v>
      </c>
      <c r="AV509" s="158">
        <v>25</v>
      </c>
      <c r="AW509" s="158">
        <v>37.5</v>
      </c>
      <c r="AX509" s="158">
        <v>35</v>
      </c>
      <c r="AY509" s="158">
        <v>37.5</v>
      </c>
      <c r="AZ509" s="158">
        <v>50</v>
      </c>
      <c r="BA509" s="158">
        <v>50</v>
      </c>
      <c r="BB509" s="21"/>
      <c r="BC509" s="21"/>
      <c r="BE509" s="1534"/>
      <c r="BF509" s="1535"/>
      <c r="BG509" s="1536"/>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30" t="s">
        <v>124</v>
      </c>
      <c r="D510" s="1731"/>
      <c r="E510" s="739" t="s">
        <v>302</v>
      </c>
      <c r="F510" s="1728" t="s">
        <v>1158</v>
      </c>
      <c r="G510" s="1728"/>
      <c r="H510" s="1728"/>
      <c r="I510" s="1728"/>
      <c r="J510" s="1728"/>
      <c r="K510" s="1728"/>
      <c r="L510" s="1728"/>
      <c r="M510" s="1728"/>
      <c r="N510" s="1728"/>
      <c r="O510" s="1728"/>
      <c r="P510" s="1728"/>
      <c r="Q510" s="1728"/>
      <c r="R510" s="1728"/>
      <c r="S510" s="1728"/>
      <c r="T510" s="1728"/>
      <c r="U510" s="1728"/>
      <c r="V510" s="1728"/>
      <c r="W510" s="1728"/>
      <c r="X510" s="1728"/>
      <c r="Y510" s="1728"/>
      <c r="Z510" s="1728"/>
      <c r="AA510" s="1728"/>
      <c r="AB510" s="1728"/>
      <c r="AC510" s="1728"/>
      <c r="AD510" s="1728"/>
      <c r="AE510" s="1728"/>
      <c r="AF510" s="694"/>
      <c r="AG510" s="731"/>
      <c r="AH510" s="731"/>
      <c r="AI510" s="731"/>
      <c r="AJ510" s="731"/>
      <c r="AK510" s="718"/>
      <c r="AL510" s="4"/>
      <c r="AM510" s="4"/>
      <c r="AN510" s="666"/>
      <c r="AO510" s="38"/>
      <c r="AP510" s="1534"/>
      <c r="AQ510" s="1535"/>
      <c r="AR510" s="1536"/>
      <c r="AS510" s="621">
        <v>65</v>
      </c>
      <c r="AT510" s="4">
        <v>0</v>
      </c>
      <c r="AU510" s="158">
        <v>10</v>
      </c>
      <c r="AV510" s="158">
        <v>25</v>
      </c>
      <c r="AW510" s="158">
        <v>37.5</v>
      </c>
      <c r="AX510" s="158">
        <v>35</v>
      </c>
      <c r="AY510" s="158">
        <v>37.5</v>
      </c>
      <c r="AZ510" s="158">
        <v>50</v>
      </c>
      <c r="BA510" s="158">
        <v>50</v>
      </c>
      <c r="BB510" s="21"/>
      <c r="BC510" s="21"/>
      <c r="BE510" s="1534"/>
      <c r="BF510" s="1535"/>
      <c r="BG510" s="1536"/>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29"/>
      <c r="G511" s="1729"/>
      <c r="H511" s="1729"/>
      <c r="I511" s="1729"/>
      <c r="J511" s="1729"/>
      <c r="K511" s="1729"/>
      <c r="L511" s="1729"/>
      <c r="M511" s="1729"/>
      <c r="N511" s="1729"/>
      <c r="O511" s="1729"/>
      <c r="P511" s="1729"/>
      <c r="Q511" s="1729"/>
      <c r="R511" s="1729"/>
      <c r="S511" s="1729"/>
      <c r="T511" s="1729"/>
      <c r="U511" s="1729"/>
      <c r="V511" s="1729"/>
      <c r="W511" s="1729"/>
      <c r="X511" s="1729"/>
      <c r="Y511" s="1729"/>
      <c r="Z511" s="1729"/>
      <c r="AA511" s="1729"/>
      <c r="AB511" s="1729"/>
      <c r="AC511" s="1729"/>
      <c r="AD511" s="1729"/>
      <c r="AE511" s="1729"/>
      <c r="AF511" s="4"/>
      <c r="AG511" s="19"/>
      <c r="AH511" s="19"/>
      <c r="AI511" s="19"/>
      <c r="AJ511" s="19"/>
      <c r="AK511" s="702"/>
      <c r="AL511" s="4"/>
      <c r="AM511" s="4"/>
      <c r="AN511" s="666"/>
      <c r="AO511" s="38"/>
      <c r="AP511" s="1534"/>
      <c r="AQ511" s="1535"/>
      <c r="AR511" s="1536"/>
      <c r="AS511" s="621">
        <v>60</v>
      </c>
      <c r="AT511" s="4">
        <v>0</v>
      </c>
      <c r="AU511" s="158">
        <v>10</v>
      </c>
      <c r="AV511" s="158">
        <v>25</v>
      </c>
      <c r="AW511" s="158">
        <v>37.5</v>
      </c>
      <c r="AX511" s="158">
        <v>35</v>
      </c>
      <c r="AY511" s="158">
        <v>37.5</v>
      </c>
      <c r="AZ511" s="158">
        <v>50</v>
      </c>
      <c r="BA511" s="158">
        <v>50</v>
      </c>
      <c r="BB511" s="21"/>
      <c r="BC511" s="21"/>
      <c r="BE511" s="1534"/>
      <c r="BF511" s="1535"/>
      <c r="BG511" s="1536"/>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34"/>
      <c r="AQ512" s="1535"/>
      <c r="AR512" s="1536"/>
      <c r="AS512" s="621">
        <v>55</v>
      </c>
      <c r="AT512" s="4">
        <v>0</v>
      </c>
      <c r="AU512" s="158">
        <v>10</v>
      </c>
      <c r="AV512" s="158">
        <v>25</v>
      </c>
      <c r="AW512" s="158">
        <v>37.5</v>
      </c>
      <c r="AX512" s="158">
        <v>35</v>
      </c>
      <c r="AY512" s="158">
        <v>37.5</v>
      </c>
      <c r="AZ512" s="158">
        <v>50</v>
      </c>
      <c r="BA512" s="158">
        <v>50</v>
      </c>
      <c r="BE512" s="1534"/>
      <c r="BF512" s="1535"/>
      <c r="BG512" s="1536"/>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38" t="s">
        <v>124</v>
      </c>
      <c r="G513" s="1738"/>
      <c r="H513" s="1738"/>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534"/>
      <c r="AQ513" s="1535"/>
      <c r="AR513" s="1536"/>
      <c r="AS513" s="157">
        <v>50</v>
      </c>
      <c r="AT513" s="4">
        <v>0</v>
      </c>
      <c r="AU513" s="158">
        <v>10</v>
      </c>
      <c r="AV513" s="158">
        <v>25</v>
      </c>
      <c r="AW513" s="158">
        <v>37.5</v>
      </c>
      <c r="AX513" s="158">
        <v>35</v>
      </c>
      <c r="AY513" s="158">
        <v>37.5</v>
      </c>
      <c r="AZ513" s="158">
        <v>50</v>
      </c>
      <c r="BA513" s="158">
        <v>50</v>
      </c>
      <c r="BE513" s="1534"/>
      <c r="BF513" s="1535"/>
      <c r="BG513" s="1536"/>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34"/>
      <c r="AQ514" s="1535"/>
      <c r="AR514" s="1536"/>
      <c r="AS514" s="157">
        <v>45</v>
      </c>
      <c r="AT514" s="4">
        <v>0</v>
      </c>
      <c r="AU514" s="158">
        <v>10</v>
      </c>
      <c r="AV514" s="158">
        <v>22.5</v>
      </c>
      <c r="AW514" s="158">
        <v>33.799999999999997</v>
      </c>
      <c r="AX514" s="158">
        <v>35</v>
      </c>
      <c r="AY514" s="158">
        <v>37.5</v>
      </c>
      <c r="AZ514" s="158">
        <v>50</v>
      </c>
      <c r="BA514" s="158">
        <v>50</v>
      </c>
      <c r="BE514" s="1534"/>
      <c r="BF514" s="1535"/>
      <c r="BG514" s="1536"/>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30" t="s">
        <v>124</v>
      </c>
      <c r="D515" s="1731"/>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34"/>
      <c r="AQ515" s="1535"/>
      <c r="AR515" s="1536"/>
      <c r="AS515" s="157">
        <v>40</v>
      </c>
      <c r="AT515" s="4">
        <v>0</v>
      </c>
      <c r="AU515" s="158">
        <v>10</v>
      </c>
      <c r="AV515" s="158">
        <v>20</v>
      </c>
      <c r="AW515" s="158">
        <v>30</v>
      </c>
      <c r="AX515" s="158">
        <v>35</v>
      </c>
      <c r="AY515" s="158">
        <v>37.5</v>
      </c>
      <c r="AZ515" s="158">
        <v>50</v>
      </c>
      <c r="BA515" s="158">
        <v>50</v>
      </c>
      <c r="BE515" s="1534"/>
      <c r="BF515" s="1535"/>
      <c r="BG515" s="1536"/>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34"/>
      <c r="AQ516" s="1535"/>
      <c r="AR516" s="1536"/>
      <c r="AS516" s="157">
        <v>35</v>
      </c>
      <c r="AT516" s="4">
        <v>0</v>
      </c>
      <c r="AU516" s="158">
        <v>8.8000000000000007</v>
      </c>
      <c r="AV516" s="158">
        <v>17.5</v>
      </c>
      <c r="AW516" s="158">
        <v>26.3</v>
      </c>
      <c r="AX516" s="158">
        <v>35</v>
      </c>
      <c r="AY516" s="158">
        <v>37.5</v>
      </c>
      <c r="AZ516" s="158">
        <v>50</v>
      </c>
      <c r="BA516" s="158">
        <v>50</v>
      </c>
      <c r="BE516" s="1534"/>
      <c r="BF516" s="1535"/>
      <c r="BG516" s="1536"/>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40"/>
      <c r="D517" s="1428"/>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534"/>
      <c r="AQ517" s="1535"/>
      <c r="AR517" s="1536"/>
      <c r="AS517" s="157">
        <v>30</v>
      </c>
      <c r="AT517" s="4">
        <v>0</v>
      </c>
      <c r="AU517" s="158">
        <v>7.5</v>
      </c>
      <c r="AV517" s="158">
        <v>15</v>
      </c>
      <c r="AW517" s="158">
        <v>22.5</v>
      </c>
      <c r="AX517" s="158">
        <v>30</v>
      </c>
      <c r="AY517" s="158">
        <v>37.5</v>
      </c>
      <c r="AZ517" s="158">
        <v>45</v>
      </c>
      <c r="BA517" s="158">
        <v>50</v>
      </c>
      <c r="BE517" s="1534"/>
      <c r="BF517" s="1535"/>
      <c r="BG517" s="1536"/>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32" t="s">
        <v>124</v>
      </c>
      <c r="H518" s="1732"/>
      <c r="I518" s="1732"/>
      <c r="J518" s="1732"/>
      <c r="K518" s="1732"/>
      <c r="L518" s="1732"/>
      <c r="M518" s="1732"/>
      <c r="N518" s="1732"/>
      <c r="O518" s="1732"/>
      <c r="P518" s="1732"/>
      <c r="Q518" s="1732"/>
      <c r="R518" s="1732"/>
      <c r="S518" s="1732"/>
      <c r="T518" s="1732"/>
      <c r="U518" s="1732"/>
      <c r="V518" s="1732"/>
      <c r="W518" s="1732"/>
      <c r="X518" s="1732"/>
      <c r="Y518" s="1732"/>
      <c r="Z518" s="1732"/>
      <c r="AA518" s="1732"/>
      <c r="AB518" s="1732"/>
      <c r="AC518" s="1732"/>
      <c r="AD518" s="1732"/>
      <c r="AE518" s="1732"/>
      <c r="AF518" s="1732"/>
      <c r="AG518" s="4"/>
      <c r="AH518" s="4"/>
      <c r="AI518" s="4"/>
      <c r="AJ518" s="19"/>
      <c r="AK518" s="702"/>
      <c r="AL518" s="4"/>
      <c r="AM518" s="4"/>
      <c r="AN518" s="666"/>
      <c r="AP518" s="1534"/>
      <c r="AQ518" s="1535"/>
      <c r="AR518" s="1536"/>
      <c r="AS518" s="157">
        <v>25</v>
      </c>
      <c r="AT518" s="4">
        <v>0</v>
      </c>
      <c r="AU518" s="158">
        <v>6.3</v>
      </c>
      <c r="AV518" s="158">
        <v>12.5</v>
      </c>
      <c r="AW518" s="158">
        <v>18.8</v>
      </c>
      <c r="AX518" s="158">
        <v>25</v>
      </c>
      <c r="AY518" s="158">
        <v>31.3</v>
      </c>
      <c r="AZ518" s="158">
        <v>37.5</v>
      </c>
      <c r="BA518" s="158">
        <v>50</v>
      </c>
      <c r="BE518" s="1534"/>
      <c r="BF518" s="1535"/>
      <c r="BG518" s="1536"/>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34"/>
      <c r="AQ519" s="1535"/>
      <c r="AR519" s="1536"/>
      <c r="AS519" s="157">
        <v>20</v>
      </c>
      <c r="AT519" s="4">
        <v>0</v>
      </c>
      <c r="AU519" s="158">
        <v>5</v>
      </c>
      <c r="AV519" s="158">
        <v>10</v>
      </c>
      <c r="AW519" s="158">
        <v>15</v>
      </c>
      <c r="AX519" s="158">
        <v>20</v>
      </c>
      <c r="AY519" s="158">
        <v>25</v>
      </c>
      <c r="AZ519" s="158">
        <v>30</v>
      </c>
      <c r="BA519" s="158">
        <v>40</v>
      </c>
      <c r="BE519" s="1534"/>
      <c r="BF519" s="1535"/>
      <c r="BG519" s="1536"/>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3" t="s">
        <v>124</v>
      </c>
      <c r="D520" s="1744"/>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534"/>
      <c r="AQ520" s="1535"/>
      <c r="AR520" s="1536"/>
      <c r="AS520" s="157">
        <v>15</v>
      </c>
      <c r="AT520" s="4">
        <v>0</v>
      </c>
      <c r="AU520" s="158">
        <v>3.8</v>
      </c>
      <c r="AV520" s="158">
        <v>7.5</v>
      </c>
      <c r="AW520" s="158">
        <v>11.3</v>
      </c>
      <c r="AX520" s="158">
        <v>15</v>
      </c>
      <c r="AY520" s="158">
        <v>18.8</v>
      </c>
      <c r="AZ520" s="158">
        <v>22.5</v>
      </c>
      <c r="BA520" s="158">
        <v>30</v>
      </c>
      <c r="BE520" s="1534"/>
      <c r="BF520" s="1535"/>
      <c r="BG520" s="1536"/>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37"/>
      <c r="AQ521" s="1538"/>
      <c r="AR521" s="1539"/>
      <c r="AS521" s="157">
        <v>10</v>
      </c>
      <c r="AT521" s="4">
        <v>0</v>
      </c>
      <c r="AU521" s="158">
        <v>2.5</v>
      </c>
      <c r="AV521" s="158">
        <v>5</v>
      </c>
      <c r="AW521" s="158">
        <v>7.5</v>
      </c>
      <c r="AX521" s="158">
        <v>10</v>
      </c>
      <c r="AY521" s="158">
        <v>12.5</v>
      </c>
      <c r="AZ521" s="158">
        <v>15</v>
      </c>
      <c r="BA521" s="158">
        <v>20</v>
      </c>
      <c r="BE521" s="1537"/>
      <c r="BF521" s="1538"/>
      <c r="BG521" s="1539"/>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43" t="s">
        <v>124</v>
      </c>
      <c r="D524" s="1744"/>
      <c r="F524" s="493" t="s">
        <v>874</v>
      </c>
      <c r="G524" s="1722" t="s">
        <v>983</v>
      </c>
      <c r="H524" s="1722"/>
      <c r="I524" s="1722"/>
      <c r="J524" s="1722"/>
      <c r="K524" s="1722"/>
      <c r="L524" s="1722"/>
      <c r="M524" s="1722"/>
      <c r="N524" s="1722"/>
      <c r="O524" s="1722"/>
      <c r="P524" s="1722"/>
      <c r="Q524" s="1722"/>
      <c r="R524" s="1722"/>
      <c r="S524" s="1722"/>
      <c r="T524" s="1722"/>
      <c r="U524" s="1722"/>
      <c r="V524" s="1722"/>
      <c r="W524" s="1722"/>
      <c r="X524" s="1722"/>
      <c r="Y524" s="1722"/>
      <c r="Z524" s="1722"/>
      <c r="AA524" s="1722"/>
      <c r="AB524" s="1722"/>
      <c r="AC524" s="1722"/>
      <c r="AD524" s="1722"/>
      <c r="AE524" s="1722"/>
      <c r="AF524" s="1722"/>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53">
        <f>BJ528</f>
        <v>45</v>
      </c>
      <c r="BE524" s="1753"/>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23"/>
      <c r="H525" s="1723"/>
      <c r="I525" s="1723"/>
      <c r="J525" s="1723"/>
      <c r="K525" s="1723"/>
      <c r="L525" s="1723"/>
      <c r="M525" s="1723"/>
      <c r="N525" s="1723"/>
      <c r="O525" s="1723"/>
      <c r="P525" s="1723"/>
      <c r="Q525" s="1723"/>
      <c r="R525" s="1723"/>
      <c r="S525" s="1723"/>
      <c r="T525" s="1723"/>
      <c r="U525" s="1723"/>
      <c r="V525" s="1723"/>
      <c r="W525" s="1723"/>
      <c r="X525" s="1723"/>
      <c r="Y525" s="1723"/>
      <c r="Z525" s="1723"/>
      <c r="AA525" s="1723"/>
      <c r="AB525" s="1723"/>
      <c r="AC525" s="1723"/>
      <c r="AD525" s="1723"/>
      <c r="AE525" s="1723"/>
      <c r="AF525" s="1723"/>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53">
        <f>SUM(E581:J589)</f>
        <v>45</v>
      </c>
      <c r="BE525" s="1753"/>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87">
        <v>0</v>
      </c>
      <c r="BK526" s="1788"/>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87">
        <f>Application!AG439</f>
        <v>0</v>
      </c>
      <c r="BK527" s="1788"/>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18" t="s">
        <v>124</v>
      </c>
      <c r="D528" s="1084"/>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87">
        <f>Application!AG441</f>
        <v>45</v>
      </c>
      <c r="BK528" s="1788"/>
      <c r="BM528" s="1735"/>
      <c r="BN528" s="1736"/>
      <c r="BO528" s="1735"/>
      <c r="BP528" s="1736"/>
      <c r="BQ528" s="1745"/>
      <c r="BR528" s="1747"/>
      <c r="BS528" s="1745"/>
      <c r="BT528" s="1747"/>
      <c r="BU528" s="1735">
        <f>IF(T611&gt;0,1,0)</f>
        <v>1</v>
      </c>
      <c r="BV528" s="1736"/>
      <c r="BW528" s="1735">
        <f>IF(Y611&gt;=0.1,1,0)</f>
        <v>1</v>
      </c>
      <c r="BX528" s="1736"/>
      <c r="BY528" s="1745"/>
      <c r="BZ528" s="1747"/>
      <c r="CA528" s="1745"/>
      <c r="CB528" s="1747"/>
      <c r="CC528" s="1735"/>
      <c r="CD528" s="1736"/>
      <c r="CE528" s="1735"/>
      <c r="CF528" s="1736"/>
      <c r="CG528"/>
      <c r="CH528"/>
      <c r="CI528"/>
      <c r="CJ528"/>
    </row>
    <row r="529" spans="1:101" s="4" customFormat="1" ht="12.75" hidden="1" customHeight="1">
      <c r="C529" s="696"/>
      <c r="E529" s="141"/>
      <c r="F529" s="1138" t="s">
        <v>124</v>
      </c>
      <c r="G529" s="1138"/>
      <c r="H529" s="1138"/>
      <c r="I529" s="1138"/>
      <c r="J529" s="1138"/>
      <c r="K529" s="1138"/>
      <c r="L529" s="1138"/>
      <c r="M529" s="1138"/>
      <c r="N529" s="1138"/>
      <c r="O529" s="1138"/>
      <c r="P529" s="1138"/>
      <c r="Q529" s="1138"/>
      <c r="R529" s="1138"/>
      <c r="S529" s="1138"/>
      <c r="T529" s="1138"/>
      <c r="U529" s="1138"/>
      <c r="V529" s="1138"/>
      <c r="W529" s="1138"/>
      <c r="X529" s="1138"/>
      <c r="Y529" s="1138"/>
      <c r="Z529" s="1138"/>
      <c r="AA529" s="1138"/>
      <c r="AB529" s="1138"/>
      <c r="AC529" s="1138"/>
      <c r="AD529" s="1138"/>
      <c r="AE529" s="1138"/>
      <c r="AF529" s="1138"/>
      <c r="AG529" s="19"/>
      <c r="AH529" s="19"/>
      <c r="AI529" s="19"/>
      <c r="AJ529" s="19"/>
      <c r="AK529" s="702"/>
      <c r="AN529" s="279"/>
      <c r="BM529" s="1735"/>
      <c r="BN529" s="1736"/>
      <c r="BO529" s="1735"/>
      <c r="BP529" s="1736"/>
      <c r="BQ529" s="1745"/>
      <c r="BR529" s="1747"/>
      <c r="BS529" s="1745"/>
      <c r="BT529" s="1747"/>
      <c r="BU529" s="1735"/>
      <c r="BV529" s="1736"/>
      <c r="BW529" s="1735"/>
      <c r="BX529" s="1736"/>
      <c r="BY529" s="1745">
        <f>IF(T612&gt;0,1,0)</f>
        <v>1</v>
      </c>
      <c r="BZ529" s="1747"/>
      <c r="CA529" s="1745">
        <f>IF(Y612&gt;=0.1,1,0)</f>
        <v>1</v>
      </c>
      <c r="CB529" s="1747"/>
      <c r="CC529" s="1735"/>
      <c r="CD529" s="1736"/>
      <c r="CE529" s="1735"/>
      <c r="CF529" s="1736"/>
      <c r="CG529"/>
      <c r="CH529"/>
      <c r="CI529"/>
      <c r="CJ529"/>
      <c r="CW529"/>
    </row>
    <row r="530" spans="1:101" s="4" customFormat="1" ht="12.75" hidden="1" customHeight="1">
      <c r="C530" s="744"/>
      <c r="D530" s="711"/>
      <c r="E530" s="725"/>
      <c r="F530" s="1706"/>
      <c r="G530" s="1706"/>
      <c r="H530" s="1706"/>
      <c r="I530" s="1706"/>
      <c r="J530" s="1706"/>
      <c r="K530" s="1706"/>
      <c r="L530" s="1706"/>
      <c r="M530" s="1706"/>
      <c r="N530" s="1706"/>
      <c r="O530" s="1706"/>
      <c r="P530" s="1706"/>
      <c r="Q530" s="1706"/>
      <c r="R530" s="1706"/>
      <c r="S530" s="1706"/>
      <c r="T530" s="1706"/>
      <c r="U530" s="1706"/>
      <c r="V530" s="1706"/>
      <c r="W530" s="1706"/>
      <c r="X530" s="1706"/>
      <c r="Y530" s="1706"/>
      <c r="Z530" s="1706"/>
      <c r="AA530" s="1706"/>
      <c r="AB530" s="1706"/>
      <c r="AC530" s="1706"/>
      <c r="AD530" s="1706"/>
      <c r="AE530" s="1706"/>
      <c r="AF530" s="1706"/>
      <c r="AG530" s="727"/>
      <c r="AH530" s="727"/>
      <c r="AI530" s="727"/>
      <c r="AJ530" s="727"/>
      <c r="AK530" s="712"/>
      <c r="AN530" s="279"/>
      <c r="BM530" s="1735"/>
      <c r="BN530" s="1736"/>
      <c r="BO530" s="1735"/>
      <c r="BP530" s="1736"/>
      <c r="BQ530" s="1745"/>
      <c r="BR530" s="1747"/>
      <c r="BS530" s="1745"/>
      <c r="BT530" s="1747"/>
      <c r="BU530" s="1735"/>
      <c r="BV530" s="1736"/>
      <c r="BW530" s="1735"/>
      <c r="BX530" s="1736"/>
      <c r="BY530" s="1745"/>
      <c r="BZ530" s="1747"/>
      <c r="CA530" s="1745"/>
      <c r="CB530" s="1747"/>
      <c r="CC530" s="1735">
        <f>IF(T613&gt;0,1,0)</f>
        <v>1</v>
      </c>
      <c r="CD530" s="1736"/>
      <c r="CE530" s="1735">
        <f>IF(Y613&gt;=0.1,1,0)</f>
        <v>1</v>
      </c>
      <c r="CF530" s="1736"/>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35">
        <f>SUM(BM526:BN530)</f>
        <v>0</v>
      </c>
      <c r="BN531" s="1736"/>
      <c r="BO531" s="1735">
        <f>SUM(BO526:BP530)</f>
        <v>0</v>
      </c>
      <c r="BP531" s="1736"/>
      <c r="BQ531" s="1735">
        <f>SUM(BQ526:BR530)</f>
        <v>0</v>
      </c>
      <c r="BR531" s="1736"/>
      <c r="BS531" s="1735">
        <f>SUM(BS526:BT530)</f>
        <v>0</v>
      </c>
      <c r="BT531" s="1736"/>
      <c r="BU531" s="1735">
        <f>SUM(BU526:BV530)</f>
        <v>1</v>
      </c>
      <c r="BV531" s="1736"/>
      <c r="BW531" s="1735">
        <f>SUM(BW526:BX530)</f>
        <v>1</v>
      </c>
      <c r="BX531" s="1736"/>
      <c r="BY531" s="1735">
        <f>SUM(BY526:BZ530)</f>
        <v>1</v>
      </c>
      <c r="BZ531" s="1736"/>
      <c r="CA531" s="1735">
        <f>SUM(CA526:CB530)</f>
        <v>1</v>
      </c>
      <c r="CB531" s="1736"/>
      <c r="CC531" s="1735">
        <f>SUM(CC526:CD530)</f>
        <v>1</v>
      </c>
      <c r="CD531" s="1736"/>
      <c r="CE531" s="1735">
        <f>SUM(CE526:CF530)</f>
        <v>1</v>
      </c>
      <c r="CF531" s="1736"/>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70" t="s">
        <v>455</v>
      </c>
      <c r="AQ532" s="1771"/>
      <c r="AR532" s="1771"/>
      <c r="AS532" s="1771"/>
      <c r="AT532" s="1772"/>
      <c r="AU532" s="1770" t="s">
        <v>456</v>
      </c>
      <c r="AV532" s="1771"/>
      <c r="AW532" s="1771"/>
      <c r="AX532" s="1771"/>
      <c r="AY532" s="1772"/>
      <c r="BM532" s="1745">
        <f>SUM(BM531:BP531)</f>
        <v>0</v>
      </c>
      <c r="BN532" s="1746"/>
      <c r="BO532" s="1746"/>
      <c r="BP532" s="1747"/>
      <c r="BQ532" s="1745">
        <f>SUM(BQ531:BT531)</f>
        <v>0</v>
      </c>
      <c r="BR532" s="1746"/>
      <c r="BS532" s="1746"/>
      <c r="BT532" s="1747"/>
      <c r="BU532" s="1745">
        <f>SUM(BU531:BX531)</f>
        <v>2</v>
      </c>
      <c r="BV532" s="1746"/>
      <c r="BW532" s="1746"/>
      <c r="BX532" s="1747"/>
      <c r="BY532" s="1745">
        <f>SUM(BY531:CB531)</f>
        <v>2</v>
      </c>
      <c r="BZ532" s="1746"/>
      <c r="CA532" s="1746"/>
      <c r="CB532" s="1747"/>
      <c r="CC532" s="1745">
        <f>SUM(CC531:CF531)</f>
        <v>2</v>
      </c>
      <c r="CD532" s="1746"/>
      <c r="CE532" s="1746"/>
      <c r="CF532" s="1747"/>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12">
        <f>RANK(T609,$T$609:$X$613,0)+COUNTIF($T$609:$X$613,T609)-1</f>
        <v>5</v>
      </c>
      <c r="AQ533" s="1713"/>
      <c r="AR533" s="1713"/>
      <c r="AS533" s="1713"/>
      <c r="AT533" s="1714"/>
      <c r="AU533" s="1712">
        <f>RANK(Y609,$Y$609:$AC$613,0)+COUNTIF($Y$609:$AC$613,Y609)-1</f>
        <v>5</v>
      </c>
      <c r="AV533" s="1713"/>
      <c r="AW533" s="1713"/>
      <c r="AX533" s="1713"/>
      <c r="AY533" s="1714"/>
      <c r="BM533" s="1745"/>
      <c r="BN533" s="1746"/>
      <c r="BO533" s="1746"/>
      <c r="BP533" s="1747"/>
      <c r="BQ533" s="1745">
        <f>IF(AND(BQ532=2,BM532=1),1,0)</f>
        <v>0</v>
      </c>
      <c r="BR533" s="1746"/>
      <c r="BS533" s="1746"/>
      <c r="BT533" s="1747"/>
      <c r="BU533" s="1745">
        <f>IF(AND(BU532=2,BQ532=1),1,0)</f>
        <v>0</v>
      </c>
      <c r="BV533" s="1746"/>
      <c r="BW533" s="1746"/>
      <c r="BX533" s="1747"/>
      <c r="BY533" s="1745">
        <f>IF(AND(BY532=2,BU532=1),1,0)</f>
        <v>0</v>
      </c>
      <c r="BZ533" s="1746"/>
      <c r="CA533" s="1746"/>
      <c r="CB533" s="1747"/>
      <c r="CC533" s="1745">
        <f>IF(AND(CC532=2,BU532=1),1,0)</f>
        <v>0</v>
      </c>
      <c r="CD533" s="1746"/>
      <c r="CE533" s="1746"/>
      <c r="CF533" s="1747"/>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12">
        <f>RANK(T610,$T$609:$X$613,0)+COUNTIF($T$609:$X$613,T610)-1</f>
        <v>5</v>
      </c>
      <c r="AQ534" s="1713"/>
      <c r="AR534" s="1713"/>
      <c r="AS534" s="1713"/>
      <c r="AT534" s="1714"/>
      <c r="AU534" s="1712">
        <f>RANK(Y610,$Y$609:$AC$613,0)+COUNTIF($Y$609:$AC$613,Y610)-1</f>
        <v>5</v>
      </c>
      <c r="AV534" s="1713"/>
      <c r="AW534" s="1713"/>
      <c r="AX534" s="1713"/>
      <c r="AY534" s="1714"/>
      <c r="BM534" s="1745"/>
      <c r="BN534" s="1746"/>
      <c r="BO534" s="1746"/>
      <c r="BP534" s="1747"/>
      <c r="BQ534" s="1745"/>
      <c r="BR534" s="1746"/>
      <c r="BS534" s="1746"/>
      <c r="BT534" s="1747"/>
      <c r="BU534" s="1745">
        <f>IF(AND(BU532=2,BM532=1),1,0)</f>
        <v>0</v>
      </c>
      <c r="BV534" s="1746"/>
      <c r="BW534" s="1746"/>
      <c r="BX534" s="1747"/>
      <c r="BY534" s="1745">
        <f>IF(AND(BY532=2,BQ532=1),1,0)</f>
        <v>0</v>
      </c>
      <c r="BZ534" s="1746"/>
      <c r="CA534" s="1746"/>
      <c r="CB534" s="1747"/>
      <c r="CC534" s="1745">
        <f>IF(AND(CC533=2,BY533=1),1,0)</f>
        <v>0</v>
      </c>
      <c r="CD534" s="1746"/>
      <c r="CE534" s="1746"/>
      <c r="CF534" s="1747"/>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12">
        <f>RANK(T611,$T$609:$X$613,0)+COUNTIF($T$609:$X$613,T611)-1</f>
        <v>3</v>
      </c>
      <c r="AQ535" s="1713"/>
      <c r="AR535" s="1713"/>
      <c r="AS535" s="1713"/>
      <c r="AT535" s="1714"/>
      <c r="AU535" s="1712">
        <f>RANK(Y611,$Y$609:$AC$613,0)+COUNTIF($Y$609:$AC$613,Y611)-1</f>
        <v>3</v>
      </c>
      <c r="AV535" s="1713"/>
      <c r="AW535" s="1713"/>
      <c r="AX535" s="1713"/>
      <c r="AY535" s="1714"/>
      <c r="BM535" s="1745"/>
      <c r="BN535" s="1746"/>
      <c r="BO535" s="1746"/>
      <c r="BP535" s="1747"/>
      <c r="BQ535" s="1745"/>
      <c r="BR535" s="1746"/>
      <c r="BS535" s="1746"/>
      <c r="BT535" s="1747"/>
      <c r="BU535" s="1745"/>
      <c r="BV535" s="1746"/>
      <c r="BW535" s="1746"/>
      <c r="BX535" s="1747"/>
      <c r="BY535" s="1745">
        <f>IF(AND(BY532=2,BM532=1),1,0)</f>
        <v>0</v>
      </c>
      <c r="BZ535" s="1746"/>
      <c r="CA535" s="1746"/>
      <c r="CB535" s="1747"/>
      <c r="CC535" s="1745">
        <f>IF(AND(CC532=2,BQ532=1),1,0)</f>
        <v>0</v>
      </c>
      <c r="CD535" s="1746"/>
      <c r="CE535" s="1746"/>
      <c r="CF535" s="1747"/>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12">
        <f>RANK(T612,$T$609:$X$613,0)+COUNTIF($T$609:$X$613,T612)-1</f>
        <v>1</v>
      </c>
      <c r="AQ536" s="1713"/>
      <c r="AR536" s="1713"/>
      <c r="AS536" s="1713"/>
      <c r="AT536" s="1714"/>
      <c r="AU536" s="1712">
        <f>RANK(Y612,$Y$609:$AC$613,0)+COUNTIF($Y$609:$AC$613,Y612)-1</f>
        <v>1</v>
      </c>
      <c r="AV536" s="1713"/>
      <c r="AW536" s="1713"/>
      <c r="AX536" s="1713"/>
      <c r="AY536" s="1714"/>
      <c r="BM536" s="1745"/>
      <c r="BN536" s="1746"/>
      <c r="BO536" s="1746"/>
      <c r="BP536" s="1747"/>
      <c r="BQ536" s="1745"/>
      <c r="BR536" s="1746"/>
      <c r="BS536" s="1746"/>
      <c r="BT536" s="1747"/>
      <c r="BU536" s="1745"/>
      <c r="BV536" s="1746"/>
      <c r="BW536" s="1746"/>
      <c r="BX536" s="1747"/>
      <c r="BY536" s="1745"/>
      <c r="BZ536" s="1746"/>
      <c r="CA536" s="1746"/>
      <c r="CB536" s="1747"/>
      <c r="CC536" s="1745">
        <f>IF(AND(CC532=2,BM532=1),1,0)</f>
        <v>0</v>
      </c>
      <c r="CD536" s="1746"/>
      <c r="CE536" s="1746"/>
      <c r="CF536" s="1747"/>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12">
        <f>RANK(T613,$T$609:$X$613,0)+COUNTIF($T$609:$X$613,T613)-1</f>
        <v>2</v>
      </c>
      <c r="AQ537" s="1713"/>
      <c r="AR537" s="1713"/>
      <c r="AS537" s="1713"/>
      <c r="AT537" s="1714"/>
      <c r="AU537" s="1712">
        <f>RANK(Y613,$Y$609:$AC$613,0)+COUNTIF($Y$609:$AC$613,Y613)-1</f>
        <v>2</v>
      </c>
      <c r="AV537" s="1713"/>
      <c r="AW537" s="1713"/>
      <c r="AX537" s="1713"/>
      <c r="AY537" s="1714"/>
      <c r="BM537" s="1745">
        <f>SUM(BM533:BP536)</f>
        <v>0</v>
      </c>
      <c r="BN537" s="1746"/>
      <c r="BO537" s="1746"/>
      <c r="BP537" s="1747"/>
      <c r="BQ537" s="1745">
        <f>SUM(BQ533:BT536)</f>
        <v>0</v>
      </c>
      <c r="BR537" s="1746"/>
      <c r="BS537" s="1746"/>
      <c r="BT537" s="1747"/>
      <c r="BU537" s="1745">
        <f>SUM(BU533:BX536)</f>
        <v>0</v>
      </c>
      <c r="BV537" s="1746"/>
      <c r="BW537" s="1746"/>
      <c r="BX537" s="1747"/>
      <c r="BY537" s="1745">
        <f>SUM(BY533:CB536)</f>
        <v>0</v>
      </c>
      <c r="BZ537" s="1746"/>
      <c r="CA537" s="1746"/>
      <c r="CB537" s="1747"/>
      <c r="CC537" s="1745">
        <f>SUM(CC533:CF536)</f>
        <v>0</v>
      </c>
      <c r="CD537" s="1746"/>
      <c r="CE537" s="1746"/>
      <c r="CF537" s="1747"/>
      <c r="CG537" s="1745">
        <f>SUM(BM537:CF537)</f>
        <v>0</v>
      </c>
      <c r="CH537" s="1746"/>
      <c r="CI537" s="1746"/>
      <c r="CJ537" s="1747"/>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85">
        <f>SUM(AG484:AG529)</f>
        <v>0</v>
      </c>
      <c r="AL540" s="1286"/>
      <c r="AM540" s="1287"/>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35">
        <f>SUM(O609:S613)</f>
        <v>45</v>
      </c>
      <c r="AZ541" s="1736"/>
      <c r="CG541"/>
      <c r="CH541" s="1867" t="s">
        <v>775</v>
      </c>
      <c r="CI541" s="1260"/>
      <c r="CJ541" s="1260"/>
      <c r="CK541" s="1261"/>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35" t="str">
        <f>IF(AY541=BK568,"passed","failed")</f>
        <v>passed</v>
      </c>
      <c r="AT542" s="1748"/>
      <c r="AU542" s="1736"/>
      <c r="AV542" s="149"/>
      <c r="AW542" s="149"/>
      <c r="AX542" s="149"/>
      <c r="AY542" s="149"/>
      <c r="AZ542" s="150"/>
      <c r="CG542"/>
      <c r="CH542" s="1262"/>
      <c r="CI542" s="1263"/>
      <c r="CJ542" s="1263"/>
      <c r="CK542" s="1264"/>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9" t="s">
        <v>365</v>
      </c>
      <c r="AF543" s="1719"/>
      <c r="AG543" s="1719"/>
      <c r="AH543" s="1719"/>
      <c r="AI543" s="1719"/>
      <c r="AJ543" s="1719"/>
      <c r="AK543" s="1719"/>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62"/>
      <c r="CI543" s="1263"/>
      <c r="CJ543" s="1263"/>
      <c r="CK543" s="1264"/>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8" t="s">
        <v>182</v>
      </c>
      <c r="AH544" s="1708"/>
      <c r="AI544" s="1708"/>
      <c r="AJ544" s="1708"/>
      <c r="AK544" s="18"/>
      <c r="AL544" s="18"/>
      <c r="AM544" s="21"/>
      <c r="AN544" s="279"/>
      <c r="BE544" s="1745" t="s">
        <v>223</v>
      </c>
      <c r="BF544" s="1746"/>
      <c r="BG544" s="1746"/>
      <c r="BH544" s="1747"/>
      <c r="BI544" s="1745" t="s">
        <v>716</v>
      </c>
      <c r="BJ544" s="1746"/>
      <c r="BK544" s="1746"/>
      <c r="BL544" s="1747"/>
      <c r="BM544" s="1745" t="s">
        <v>717</v>
      </c>
      <c r="BN544" s="1746"/>
      <c r="BO544" s="1746"/>
      <c r="BP544" s="1747"/>
      <c r="BQ544" s="1745" t="s">
        <v>718</v>
      </c>
      <c r="BR544" s="1746"/>
      <c r="BS544" s="1746"/>
      <c r="BT544" s="1747"/>
      <c r="BU544" s="1745" t="s">
        <v>719</v>
      </c>
      <c r="BV544" s="1746"/>
      <c r="BW544" s="1746"/>
      <c r="BX544" s="1747"/>
      <c r="BY544" s="1745" t="s">
        <v>224</v>
      </c>
      <c r="BZ544" s="1746"/>
      <c r="CA544" s="1746"/>
      <c r="CB544" s="1747"/>
      <c r="CC544"/>
      <c r="CG544"/>
      <c r="CH544" s="1262"/>
      <c r="CI544" s="1263"/>
      <c r="CJ544" s="1263"/>
      <c r="CK544" s="1264"/>
    </row>
    <row r="545" spans="1:89" s="4" customFormat="1" ht="12.75" customHeight="1">
      <c r="A545" s="3"/>
      <c r="B545" s="1688" t="s">
        <v>2303</v>
      </c>
      <c r="C545" s="1688"/>
      <c r="D545" s="1688"/>
      <c r="E545" s="1688"/>
      <c r="F545" s="1688"/>
      <c r="G545" s="1688"/>
      <c r="H545" s="1688"/>
      <c r="I545" s="1688"/>
      <c r="J545" s="1688"/>
      <c r="K545" s="1688"/>
      <c r="L545" s="1688"/>
      <c r="M545" s="1688"/>
      <c r="N545" s="1688"/>
      <c r="O545" s="1688"/>
      <c r="P545" s="1688"/>
      <c r="Q545" s="1688"/>
      <c r="R545" s="1688"/>
      <c r="S545" s="1688"/>
      <c r="T545" s="1688"/>
      <c r="U545" s="1688"/>
      <c r="V545" s="1688"/>
      <c r="W545" s="1688"/>
      <c r="X545" s="1688"/>
      <c r="Y545" s="1688"/>
      <c r="Z545" s="1688"/>
      <c r="AA545" s="1688"/>
      <c r="AB545" s="1688"/>
      <c r="AC545" s="1688"/>
      <c r="AD545" s="1688"/>
      <c r="AE545" s="1688"/>
      <c r="AF545" s="1688"/>
      <c r="AG545" s="1688"/>
      <c r="AK545" s="21"/>
      <c r="AL545" s="21"/>
      <c r="AN545" s="279"/>
      <c r="AP545" s="431" t="s">
        <v>613</v>
      </c>
      <c r="AQ545" s="432"/>
      <c r="AR545" s="432"/>
      <c r="AS545" s="432"/>
      <c r="AT545" s="432"/>
      <c r="AU545" s="432"/>
      <c r="AV545" s="433"/>
      <c r="AW545" s="432"/>
      <c r="AX545" s="432"/>
      <c r="AY545" s="433"/>
      <c r="BE545" s="1735">
        <f>IF(CH546=1,0,1)</f>
        <v>0</v>
      </c>
      <c r="BF545" s="1748"/>
      <c r="BG545" s="1748"/>
      <c r="BH545" s="1736"/>
      <c r="BI545" s="1735"/>
      <c r="BJ545" s="1748"/>
      <c r="BK545" s="1748"/>
      <c r="BL545" s="1736"/>
      <c r="BM545" s="1735"/>
      <c r="BN545" s="1748"/>
      <c r="BO545" s="1748"/>
      <c r="BP545" s="1736"/>
      <c r="BQ545" s="1735"/>
      <c r="BR545" s="1748"/>
      <c r="BS545" s="1748"/>
      <c r="BT545" s="1736"/>
      <c r="BU545" s="1745"/>
      <c r="BV545" s="1746"/>
      <c r="BW545" s="1746"/>
      <c r="BX545" s="1747"/>
      <c r="BY545" s="1745"/>
      <c r="BZ545" s="1746"/>
      <c r="CA545" s="1746"/>
      <c r="CB545" s="1747"/>
      <c r="CC545"/>
      <c r="CG545"/>
      <c r="CH545" s="1265"/>
      <c r="CI545" s="1266"/>
      <c r="CJ545" s="1266"/>
      <c r="CK545" s="1267"/>
    </row>
    <row r="546" spans="1:89" s="4" customFormat="1" ht="12.75" customHeight="1">
      <c r="A546" s="20"/>
      <c r="B546" s="1688"/>
      <c r="C546" s="1688"/>
      <c r="D546" s="1688"/>
      <c r="E546" s="1688"/>
      <c r="F546" s="1688"/>
      <c r="G546" s="1688"/>
      <c r="H546" s="1688"/>
      <c r="I546" s="1688"/>
      <c r="J546" s="1688"/>
      <c r="K546" s="1688"/>
      <c r="L546" s="1688"/>
      <c r="M546" s="1688"/>
      <c r="N546" s="1688"/>
      <c r="O546" s="1688"/>
      <c r="P546" s="1688"/>
      <c r="Q546" s="1688"/>
      <c r="R546" s="1688"/>
      <c r="S546" s="1688"/>
      <c r="T546" s="1688"/>
      <c r="U546" s="1688"/>
      <c r="V546" s="1688"/>
      <c r="W546" s="1688"/>
      <c r="X546" s="1688"/>
      <c r="Y546" s="1688"/>
      <c r="Z546" s="1688"/>
      <c r="AA546" s="1688"/>
      <c r="AB546" s="1688"/>
      <c r="AC546" s="1688"/>
      <c r="AD546" s="1688"/>
      <c r="AE546" s="1688"/>
      <c r="AF546" s="1688"/>
      <c r="AG546" s="1688"/>
      <c r="AK546" s="161"/>
      <c r="AL546" s="161"/>
      <c r="AM546" s="161"/>
      <c r="AN546" s="279"/>
      <c r="AP546" s="434" t="s">
        <v>611</v>
      </c>
      <c r="AQ546" s="435"/>
      <c r="AR546" s="435"/>
      <c r="AS546" s="435"/>
      <c r="AT546" s="435"/>
      <c r="AU546" s="1761">
        <f>ROUNDUP(BK568*0.1,0)</f>
        <v>5</v>
      </c>
      <c r="AV546" s="1763"/>
      <c r="AW546" s="435"/>
      <c r="AX546" s="435">
        <f>AU546-AP548</f>
        <v>-30</v>
      </c>
      <c r="AY546" s="436"/>
      <c r="BE546" s="1735"/>
      <c r="BF546" s="1748"/>
      <c r="BG546" s="1748"/>
      <c r="BH546" s="1736"/>
      <c r="BI546" s="1735">
        <f>IF(AND(CH547=1,BE545=0),0,1)</f>
        <v>0</v>
      </c>
      <c r="BJ546" s="1748"/>
      <c r="BK546" s="1748"/>
      <c r="BL546" s="1736"/>
      <c r="BM546" s="1735"/>
      <c r="BN546" s="1748"/>
      <c r="BO546" s="1748"/>
      <c r="BP546" s="1736"/>
      <c r="BQ546" s="1735"/>
      <c r="BR546" s="1748"/>
      <c r="BS546" s="1748"/>
      <c r="BT546" s="1736"/>
      <c r="BU546" s="1745"/>
      <c r="BV546" s="1746"/>
      <c r="BW546" s="1746"/>
      <c r="BX546" s="1747"/>
      <c r="BY546" s="1745"/>
      <c r="BZ546" s="1746"/>
      <c r="CA546" s="1746"/>
      <c r="CB546" s="1747"/>
      <c r="CC546"/>
      <c r="CG546"/>
      <c r="CH546" s="1745">
        <f>IF(OR(Y609=0,Y609&gt;=0.1),1,0)</f>
        <v>1</v>
      </c>
      <c r="CI546" s="1746"/>
      <c r="CJ546" s="1746"/>
      <c r="CK546" s="1747"/>
    </row>
    <row r="547" spans="1:89" s="4" customFormat="1" ht="12.75" customHeight="1">
      <c r="B547" s="1688"/>
      <c r="C547" s="1688"/>
      <c r="D547" s="1688"/>
      <c r="E547" s="1688"/>
      <c r="F547" s="1688"/>
      <c r="G547" s="1688"/>
      <c r="H547" s="1688"/>
      <c r="I547" s="1688"/>
      <c r="J547" s="1688"/>
      <c r="K547" s="1688"/>
      <c r="L547" s="1688"/>
      <c r="M547" s="1688"/>
      <c r="N547" s="1688"/>
      <c r="O547" s="1688"/>
      <c r="P547" s="1688"/>
      <c r="Q547" s="1688"/>
      <c r="R547" s="1688"/>
      <c r="S547" s="1688"/>
      <c r="T547" s="1688"/>
      <c r="U547" s="1688"/>
      <c r="V547" s="1688"/>
      <c r="W547" s="1688"/>
      <c r="X547" s="1688"/>
      <c r="Y547" s="1688"/>
      <c r="Z547" s="1688"/>
      <c r="AA547" s="1688"/>
      <c r="AB547" s="1688"/>
      <c r="AC547" s="1688"/>
      <c r="AD547" s="1688"/>
      <c r="AE547" s="1688"/>
      <c r="AF547" s="1688"/>
      <c r="AG547" s="1688"/>
      <c r="AH547" s="160"/>
      <c r="AI547" s="160"/>
      <c r="AJ547" s="160"/>
      <c r="AK547" s="161"/>
      <c r="AL547" s="161"/>
      <c r="AM547" s="161"/>
      <c r="AN547" s="279"/>
      <c r="AP547" s="434"/>
      <c r="AQ547" s="435"/>
      <c r="AR547" s="435"/>
      <c r="AS547" s="435"/>
      <c r="AT547" s="435"/>
      <c r="AU547" s="435"/>
      <c r="AV547" s="436"/>
      <c r="AW547" s="435"/>
      <c r="AX547" s="435"/>
      <c r="AY547" s="436"/>
      <c r="BE547" s="1735"/>
      <c r="BF547" s="1748"/>
      <c r="BG547" s="1748"/>
      <c r="BH547" s="1736"/>
      <c r="BI547" s="1735"/>
      <c r="BJ547" s="1748"/>
      <c r="BK547" s="1748"/>
      <c r="BL547" s="1736"/>
      <c r="BM547" s="1735">
        <f>IF(AND(AND(CH548=1,BI546=0,BE545=0)),0,1)</f>
        <v>0</v>
      </c>
      <c r="BN547" s="1748"/>
      <c r="BO547" s="1748"/>
      <c r="BP547" s="1736"/>
      <c r="BQ547" s="1735"/>
      <c r="BR547" s="1748"/>
      <c r="BS547" s="1748"/>
      <c r="BT547" s="1736"/>
      <c r="BU547" s="1745"/>
      <c r="BV547" s="1746"/>
      <c r="BW547" s="1746"/>
      <c r="BX547" s="1747"/>
      <c r="BY547" s="1745"/>
      <c r="BZ547" s="1746"/>
      <c r="CA547" s="1746"/>
      <c r="CB547" s="1747"/>
      <c r="CC547"/>
      <c r="CG547"/>
      <c r="CH547" s="1745">
        <f>IF(OR(Y610=0,Y610&gt;=0.1),1,0)</f>
        <v>1</v>
      </c>
      <c r="CI547" s="1746"/>
      <c r="CJ547" s="1746"/>
      <c r="CK547" s="1747"/>
    </row>
    <row r="548" spans="1:89" s="4" customFormat="1" ht="12.75" customHeight="1">
      <c r="B548" s="1688"/>
      <c r="C548" s="1688"/>
      <c r="D548" s="1688"/>
      <c r="E548" s="1688"/>
      <c r="F548" s="1688"/>
      <c r="G548" s="1688"/>
      <c r="H548" s="1688"/>
      <c r="I548" s="1688"/>
      <c r="J548" s="1688"/>
      <c r="K548" s="1688"/>
      <c r="L548" s="1688"/>
      <c r="M548" s="1688"/>
      <c r="N548" s="1688"/>
      <c r="O548" s="1688"/>
      <c r="P548" s="1688"/>
      <c r="Q548" s="1688"/>
      <c r="R548" s="1688"/>
      <c r="S548" s="1688"/>
      <c r="T548" s="1688"/>
      <c r="U548" s="1688"/>
      <c r="V548" s="1688"/>
      <c r="W548" s="1688"/>
      <c r="X548" s="1688"/>
      <c r="Y548" s="1688"/>
      <c r="Z548" s="1688"/>
      <c r="AA548" s="1688"/>
      <c r="AB548" s="1688"/>
      <c r="AC548" s="1688"/>
      <c r="AD548" s="1688"/>
      <c r="AE548" s="1688"/>
      <c r="AF548" s="1688"/>
      <c r="AG548" s="1688"/>
      <c r="AH548" s="160"/>
      <c r="AI548" s="160"/>
      <c r="AJ548" s="160"/>
      <c r="AK548" s="161"/>
      <c r="AL548" s="161"/>
      <c r="AM548" s="161"/>
      <c r="AN548" s="279"/>
      <c r="AP548" s="1754">
        <f>SUM(T609:X613)</f>
        <v>35</v>
      </c>
      <c r="AQ548" s="1755"/>
      <c r="AR548" s="1755"/>
      <c r="AS548" s="1755"/>
      <c r="AT548" s="1756"/>
      <c r="AU548" s="435"/>
      <c r="AV548" s="436"/>
      <c r="AW548" s="435"/>
      <c r="AX548" s="435"/>
      <c r="AY548" s="436"/>
      <c r="BE548" s="1735"/>
      <c r="BF548" s="1748"/>
      <c r="BG548" s="1748"/>
      <c r="BH548" s="1736"/>
      <c r="BI548" s="1735"/>
      <c r="BJ548" s="1748"/>
      <c r="BK548" s="1748"/>
      <c r="BL548" s="1736"/>
      <c r="BM548" s="1735"/>
      <c r="BN548" s="1748"/>
      <c r="BO548" s="1748"/>
      <c r="BP548" s="1736"/>
      <c r="BQ548" s="1735">
        <f>IF(AND(AND(AND(CH549=1,BM547=0,BI546=0,BE545=0))),0,1)</f>
        <v>0</v>
      </c>
      <c r="BR548" s="1748"/>
      <c r="BS548" s="1748"/>
      <c r="BT548" s="1736"/>
      <c r="BU548" s="1745"/>
      <c r="BV548" s="1746"/>
      <c r="BW548" s="1746"/>
      <c r="BX548" s="1747"/>
      <c r="BY548" s="1745"/>
      <c r="BZ548" s="1746"/>
      <c r="CA548" s="1746"/>
      <c r="CB548" s="1747"/>
      <c r="CC548"/>
      <c r="CG548"/>
      <c r="CH548" s="1745">
        <f>IF(OR(Y611=0,Y611&gt;=0.1),1,0)</f>
        <v>1</v>
      </c>
      <c r="CI548" s="1746"/>
      <c r="CJ548" s="1746"/>
      <c r="CK548" s="1747"/>
    </row>
    <row r="549" spans="1:89" s="4" customFormat="1" ht="12.75" customHeight="1">
      <c r="B549" s="1688"/>
      <c r="C549" s="1688"/>
      <c r="D549" s="1688"/>
      <c r="E549" s="1688"/>
      <c r="F549" s="1688"/>
      <c r="G549" s="1688"/>
      <c r="H549" s="1688"/>
      <c r="I549" s="1688"/>
      <c r="J549" s="1688"/>
      <c r="K549" s="1688"/>
      <c r="L549" s="1688"/>
      <c r="M549" s="1688"/>
      <c r="N549" s="1688"/>
      <c r="O549" s="1688"/>
      <c r="P549" s="1688"/>
      <c r="Q549" s="1688"/>
      <c r="R549" s="1688"/>
      <c r="S549" s="1688"/>
      <c r="T549" s="1688"/>
      <c r="U549" s="1688"/>
      <c r="V549" s="1688"/>
      <c r="W549" s="1688"/>
      <c r="X549" s="1688"/>
      <c r="Y549" s="1688"/>
      <c r="Z549" s="1688"/>
      <c r="AA549" s="1688"/>
      <c r="AB549" s="1688"/>
      <c r="AC549" s="1688"/>
      <c r="AD549" s="1688"/>
      <c r="AE549" s="1688"/>
      <c r="AF549" s="1688"/>
      <c r="AG549" s="1688"/>
      <c r="AH549" s="160"/>
      <c r="AI549" s="160"/>
      <c r="AJ549" s="160"/>
      <c r="AK549" s="161"/>
      <c r="AL549" s="161"/>
      <c r="AM549" s="161"/>
      <c r="AN549" s="279"/>
      <c r="AP549" s="437"/>
      <c r="AQ549" s="438"/>
      <c r="AR549" s="438"/>
      <c r="AS549" s="438"/>
      <c r="AT549" s="439" t="s">
        <v>606</v>
      </c>
      <c r="AU549" s="1761" t="str">
        <f>IF(AP548&gt;=AU546,"passed","failed")</f>
        <v>passed</v>
      </c>
      <c r="AV549" s="1762"/>
      <c r="AW549" s="1763"/>
      <c r="AX549" s="440"/>
      <c r="AY549" s="441"/>
      <c r="BE549" s="1735"/>
      <c r="BF549" s="1748"/>
      <c r="BG549" s="1748"/>
      <c r="BH549" s="1736"/>
      <c r="BI549" s="1735"/>
      <c r="BJ549" s="1748"/>
      <c r="BK549" s="1748"/>
      <c r="BL549" s="1736"/>
      <c r="BM549" s="1735"/>
      <c r="BN549" s="1748"/>
      <c r="BO549" s="1748"/>
      <c r="BP549" s="1736"/>
      <c r="BQ549" s="1735"/>
      <c r="BR549" s="1748"/>
      <c r="BS549" s="1748"/>
      <c r="BT549" s="1736"/>
      <c r="BU549" s="1735">
        <f>IF(AND(AND(AND(AND(CH550=1,BQ548=0,BM547=0,BI546=0,BE545=0)))),0,1)</f>
        <v>0</v>
      </c>
      <c r="BV549" s="1748"/>
      <c r="BW549" s="1748"/>
      <c r="BX549" s="1736"/>
      <c r="BY549" s="1745"/>
      <c r="BZ549" s="1746"/>
      <c r="CA549" s="1746"/>
      <c r="CB549" s="1747"/>
      <c r="CC549"/>
      <c r="CD549"/>
      <c r="CE549"/>
      <c r="CF549"/>
      <c r="CG549"/>
      <c r="CH549" s="1745">
        <f>IF(OR(Y612=0,Y612&gt;=0.1),1,0)</f>
        <v>1</v>
      </c>
      <c r="CI549" s="1746"/>
      <c r="CJ549" s="1746"/>
      <c r="CK549" s="1747"/>
    </row>
    <row r="550" spans="1:89" s="4" customFormat="1" ht="13.7" customHeight="1">
      <c r="B550" s="1688"/>
      <c r="C550" s="1688"/>
      <c r="D550" s="1688"/>
      <c r="E550" s="1688"/>
      <c r="F550" s="1688"/>
      <c r="G550" s="1688"/>
      <c r="H550" s="1688"/>
      <c r="I550" s="1688"/>
      <c r="J550" s="1688"/>
      <c r="K550" s="1688"/>
      <c r="L550" s="1688"/>
      <c r="M550" s="1688"/>
      <c r="N550" s="1688"/>
      <c r="O550" s="1688"/>
      <c r="P550" s="1688"/>
      <c r="Q550" s="1688"/>
      <c r="R550" s="1688"/>
      <c r="S550" s="1688"/>
      <c r="T550" s="1688"/>
      <c r="U550" s="1688"/>
      <c r="V550" s="1688"/>
      <c r="W550" s="1688"/>
      <c r="X550" s="1688"/>
      <c r="Y550" s="1688"/>
      <c r="Z550" s="1688"/>
      <c r="AA550" s="1688"/>
      <c r="AB550" s="1688"/>
      <c r="AC550" s="1688"/>
      <c r="AD550" s="1688"/>
      <c r="AE550" s="1688"/>
      <c r="AF550" s="1688"/>
      <c r="AG550" s="1688"/>
      <c r="AH550" s="160"/>
      <c r="AI550" s="160"/>
      <c r="AJ550" s="160"/>
      <c r="AK550" s="161"/>
      <c r="AL550" s="161"/>
      <c r="AM550" s="161"/>
      <c r="AN550" s="279"/>
      <c r="BE550" s="1735">
        <f>SUM(BE545:BH549)</f>
        <v>0</v>
      </c>
      <c r="BF550" s="1748"/>
      <c r="BG550" s="1748"/>
      <c r="BH550" s="1736"/>
      <c r="BI550" s="1735">
        <f>SUM(BI545:BL549)</f>
        <v>0</v>
      </c>
      <c r="BJ550" s="1748"/>
      <c r="BK550" s="1748"/>
      <c r="BL550" s="1736"/>
      <c r="BM550" s="1735">
        <f>SUM(BM545:BP549)</f>
        <v>0</v>
      </c>
      <c r="BN550" s="1748"/>
      <c r="BO550" s="1748"/>
      <c r="BP550" s="1736"/>
      <c r="BQ550" s="1735">
        <f>SUM(BQ545:BT549)</f>
        <v>0</v>
      </c>
      <c r="BR550" s="1748"/>
      <c r="BS550" s="1748"/>
      <c r="BT550" s="1736"/>
      <c r="BU550" s="1735">
        <f>SUM(BU545:BX549)</f>
        <v>0</v>
      </c>
      <c r="BV550" s="1748"/>
      <c r="BW550" s="1748"/>
      <c r="BX550" s="1736"/>
      <c r="BY550" s="1735">
        <f>SUM(BY545:CB549)</f>
        <v>0</v>
      </c>
      <c r="BZ550" s="1748"/>
      <c r="CA550" s="1748"/>
      <c r="CB550" s="1736"/>
      <c r="CC550" s="1745">
        <f>IF(AND(CH546=1,T609&gt;0),0,SUM(BE550:CB550))</f>
        <v>0</v>
      </c>
      <c r="CD550" s="1746"/>
      <c r="CE550" s="1746"/>
      <c r="CF550" s="1747"/>
      <c r="CG550"/>
      <c r="CH550" s="1745">
        <f>IF(OR(Y613=0,Y613&gt;=0.1),1,0)</f>
        <v>1</v>
      </c>
      <c r="CI550" s="1746"/>
      <c r="CJ550" s="1746"/>
      <c r="CK550" s="1747"/>
    </row>
    <row r="551" spans="1:89" s="4" customFormat="1" ht="12.4" customHeight="1">
      <c r="B551" s="1769" t="s">
        <v>1497</v>
      </c>
      <c r="C551" s="1769"/>
      <c r="D551" s="1769"/>
      <c r="E551" s="1769"/>
      <c r="F551" s="1769"/>
      <c r="G551" s="1769"/>
      <c r="H551" s="1769"/>
      <c r="I551" s="1769"/>
      <c r="J551" s="1769"/>
      <c r="K551" s="1769"/>
      <c r="L551" s="1769"/>
      <c r="M551" s="1769"/>
      <c r="N551" s="1769"/>
      <c r="O551" s="1769"/>
      <c r="P551" s="1769"/>
      <c r="Q551" s="1769"/>
      <c r="R551" s="1769"/>
      <c r="S551" s="1769"/>
      <c r="T551" s="1769"/>
      <c r="U551" s="1769"/>
      <c r="V551" s="1769"/>
      <c r="W551" s="1769"/>
      <c r="X551" s="1769"/>
      <c r="Y551" s="1769"/>
      <c r="Z551" s="1769"/>
      <c r="AA551" s="1769"/>
      <c r="AB551" s="1769"/>
      <c r="AC551" s="1769"/>
      <c r="AD551" s="1769"/>
      <c r="AE551" s="1769"/>
      <c r="AF551" s="1769"/>
      <c r="AG551" s="1769"/>
      <c r="AH551" s="160"/>
      <c r="AI551" s="160"/>
      <c r="AJ551" s="160"/>
      <c r="AK551" s="161"/>
      <c r="AL551" s="161"/>
      <c r="AM551" s="161"/>
      <c r="AN551" s="279"/>
    </row>
    <row r="552" spans="1:89" s="4" customFormat="1" ht="21" customHeight="1">
      <c r="B552" s="1769"/>
      <c r="C552" s="1769"/>
      <c r="D552" s="1769"/>
      <c r="E552" s="1769"/>
      <c r="F552" s="1769"/>
      <c r="G552" s="1769"/>
      <c r="H552" s="1769"/>
      <c r="I552" s="1769"/>
      <c r="J552" s="1769"/>
      <c r="K552" s="1769"/>
      <c r="L552" s="1769"/>
      <c r="M552" s="1769"/>
      <c r="N552" s="1769"/>
      <c r="O552" s="1769"/>
      <c r="P552" s="1769"/>
      <c r="Q552" s="1769"/>
      <c r="R552" s="1769"/>
      <c r="S552" s="1769"/>
      <c r="T552" s="1769"/>
      <c r="U552" s="1769"/>
      <c r="V552" s="1769"/>
      <c r="W552" s="1769"/>
      <c r="X552" s="1769"/>
      <c r="Y552" s="1769"/>
      <c r="Z552" s="1769"/>
      <c r="AA552" s="1769"/>
      <c r="AB552" s="1769"/>
      <c r="AC552" s="1769"/>
      <c r="AD552" s="1769"/>
      <c r="AE552" s="1769"/>
      <c r="AF552" s="1769"/>
      <c r="AG552" s="1769"/>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9" t="s">
        <v>1750</v>
      </c>
      <c r="C553" s="1769"/>
      <c r="D553" s="1769"/>
      <c r="E553" s="1769"/>
      <c r="F553" s="1769"/>
      <c r="G553" s="1769"/>
      <c r="H553" s="1769"/>
      <c r="I553" s="1769"/>
      <c r="J553" s="1769"/>
      <c r="K553" s="1769"/>
      <c r="L553" s="1769"/>
      <c r="M553" s="1769"/>
      <c r="N553" s="1769"/>
      <c r="O553" s="1769"/>
      <c r="P553" s="1769"/>
      <c r="Q553" s="1769"/>
      <c r="R553" s="1769"/>
      <c r="S553" s="1769"/>
      <c r="T553" s="1769"/>
      <c r="U553" s="1769"/>
      <c r="V553" s="1769"/>
      <c r="W553" s="1769"/>
      <c r="X553" s="1769"/>
      <c r="Y553" s="1769"/>
      <c r="Z553" s="1769"/>
      <c r="AA553" s="1769"/>
      <c r="AB553" s="1769"/>
      <c r="AC553" s="1769"/>
      <c r="AD553" s="1769"/>
      <c r="AE553" s="1769"/>
      <c r="AF553" s="1769"/>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9"/>
      <c r="C554" s="1769"/>
      <c r="D554" s="1769"/>
      <c r="E554" s="1769"/>
      <c r="F554" s="1769"/>
      <c r="G554" s="1769"/>
      <c r="H554" s="1769"/>
      <c r="I554" s="1769"/>
      <c r="J554" s="1769"/>
      <c r="K554" s="1769"/>
      <c r="L554" s="1769"/>
      <c r="M554" s="1769"/>
      <c r="N554" s="1769"/>
      <c r="O554" s="1769"/>
      <c r="P554" s="1769"/>
      <c r="Q554" s="1769"/>
      <c r="R554" s="1769"/>
      <c r="S554" s="1769"/>
      <c r="T554" s="1769"/>
      <c r="U554" s="1769"/>
      <c r="V554" s="1769"/>
      <c r="W554" s="1769"/>
      <c r="X554" s="1769"/>
      <c r="Y554" s="1769"/>
      <c r="Z554" s="1769"/>
      <c r="AA554" s="1769"/>
      <c r="AB554" s="1769"/>
      <c r="AC554" s="1769"/>
      <c r="AD554" s="1769"/>
      <c r="AE554" s="1769"/>
      <c r="AF554" s="1769"/>
      <c r="AG554" s="160"/>
      <c r="AH554" s="160"/>
      <c r="AI554" s="160"/>
      <c r="AJ554" s="160"/>
      <c r="AK554" s="161"/>
      <c r="AL554" s="161"/>
      <c r="AM554" s="161"/>
      <c r="AN554" s="279"/>
      <c r="AP554" s="148"/>
      <c r="AQ554" s="149"/>
      <c r="AR554" s="149"/>
      <c r="AS554" s="149"/>
      <c r="AT554" s="155" t="s">
        <v>606</v>
      </c>
      <c r="AU554" s="149"/>
      <c r="AV554" s="1735" t="str">
        <f>IF(BJ590&gt;0,"failed","passed")</f>
        <v>failed</v>
      </c>
      <c r="AW554" s="1748"/>
      <c r="AX554" s="1748"/>
      <c r="AY554" s="1736"/>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11" t="s">
        <v>1498</v>
      </c>
      <c r="R557" s="1711"/>
      <c r="S557" s="1711"/>
      <c r="T557" s="1711"/>
      <c r="U557" s="1711"/>
      <c r="V557" s="1711"/>
      <c r="W557" s="1711"/>
      <c r="X557" s="1711"/>
      <c r="Y557" s="1711"/>
      <c r="Z557" s="1711"/>
      <c r="AA557" s="1711"/>
      <c r="AB557" s="1711"/>
      <c r="AC557" s="1711"/>
      <c r="AD557" s="1711"/>
      <c r="AE557" s="1711"/>
      <c r="AF557" s="1711"/>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11"/>
      <c r="R558" s="1711"/>
      <c r="S558" s="1711"/>
      <c r="T558" s="1711"/>
      <c r="U558" s="1711"/>
      <c r="V558" s="1711"/>
      <c r="W558" s="1711"/>
      <c r="X558" s="1711"/>
      <c r="Y558" s="1711"/>
      <c r="Z558" s="1711"/>
      <c r="AA558" s="1711"/>
      <c r="AB558" s="1711"/>
      <c r="AC558" s="1711"/>
      <c r="AD558" s="1711"/>
      <c r="AE558" s="1711"/>
      <c r="AF558" s="1711"/>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85" t="s">
        <v>1749</v>
      </c>
      <c r="R559" s="1686"/>
      <c r="S559" s="1716" t="s">
        <v>204</v>
      </c>
      <c r="T559" s="1716"/>
      <c r="U559" s="1685">
        <v>0.5</v>
      </c>
      <c r="V559" s="1686"/>
      <c r="W559" s="1685">
        <v>0.45</v>
      </c>
      <c r="X559" s="1686"/>
      <c r="Y559" s="1685">
        <v>0.4</v>
      </c>
      <c r="Z559" s="1686"/>
      <c r="AA559" s="1685">
        <v>0.35</v>
      </c>
      <c r="AB559" s="1686"/>
      <c r="AC559" s="1759">
        <v>0.3</v>
      </c>
      <c r="AD559" s="1760"/>
      <c r="AE559" s="1685">
        <v>0.2</v>
      </c>
      <c r="AF559" s="1686"/>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90"/>
      <c r="P560" s="1691"/>
      <c r="Q560" s="1696"/>
      <c r="R560" s="1695"/>
      <c r="S560" s="1880"/>
      <c r="T560" s="1880"/>
      <c r="U560" s="1695"/>
      <c r="V560" s="1695"/>
      <c r="W560" s="1695"/>
      <c r="X560" s="1695"/>
      <c r="Y560" s="1695"/>
      <c r="Z560" s="1695"/>
      <c r="AA560" s="1876"/>
      <c r="AB560" s="1876"/>
      <c r="AC560" s="1695"/>
      <c r="AD560" s="1695"/>
      <c r="AE560" s="1757"/>
      <c r="AF560" s="1758"/>
      <c r="AN560" s="279"/>
      <c r="AP560" s="142" t="s">
        <v>713</v>
      </c>
      <c r="AQ560" s="9"/>
      <c r="AR560" s="9"/>
      <c r="AS560" s="9"/>
      <c r="AT560" s="1745" t="str">
        <f>IF(OR(AV554="passed",BD558="passed"),"passed","failed")</f>
        <v>passed</v>
      </c>
      <c r="AU560" s="1746"/>
      <c r="AV560" s="1746"/>
      <c r="AW560" s="1746"/>
      <c r="AX560" s="1747"/>
    </row>
    <row r="561" spans="1:96" s="4" customFormat="1" ht="12.75" customHeight="1">
      <c r="B561" s="63"/>
      <c r="I561" s="218"/>
      <c r="J561" s="160"/>
      <c r="N561" s="5"/>
      <c r="O561" s="1690"/>
      <c r="P561" s="1691"/>
      <c r="Q561" s="1692"/>
      <c r="R561" s="1689"/>
      <c r="S561" s="1689"/>
      <c r="T561" s="1689"/>
      <c r="U561" s="1689"/>
      <c r="V561" s="1689"/>
      <c r="W561" s="1689"/>
      <c r="X561" s="1689"/>
      <c r="Y561" s="1687"/>
      <c r="Z561" s="1687"/>
      <c r="AA561" s="1689"/>
      <c r="AB561" s="1689"/>
      <c r="AC561" s="1687"/>
      <c r="AD561" s="1687"/>
      <c r="AE561" s="1693"/>
      <c r="AF561" s="1694"/>
      <c r="AN561" s="279"/>
      <c r="AP561"/>
      <c r="AQ561"/>
      <c r="AR561"/>
      <c r="AS561"/>
      <c r="AT561"/>
      <c r="AU561"/>
      <c r="AV561"/>
      <c r="AW561"/>
      <c r="AX561"/>
      <c r="AY561"/>
    </row>
    <row r="562" spans="1:96" s="4" customFormat="1" ht="12.75" customHeight="1">
      <c r="B562" s="63"/>
      <c r="I562" s="218"/>
      <c r="J562" s="160"/>
      <c r="N562" s="5"/>
      <c r="O562" s="1690"/>
      <c r="P562" s="1691"/>
      <c r="Q562" s="1692"/>
      <c r="R562" s="1689"/>
      <c r="S562" s="1689"/>
      <c r="T562" s="1689"/>
      <c r="U562" s="1689"/>
      <c r="V562" s="1689"/>
      <c r="W562" s="1689"/>
      <c r="X562" s="1689"/>
      <c r="Y562" s="1689"/>
      <c r="Z562" s="1689"/>
      <c r="AA562" s="1687"/>
      <c r="AB562" s="1687"/>
      <c r="AC562" s="1689"/>
      <c r="AD562" s="1689"/>
      <c r="AE562" s="1767"/>
      <c r="AF562" s="1768"/>
      <c r="AN562" s="279"/>
      <c r="AP562" s="151" t="s">
        <v>607</v>
      </c>
      <c r="AQ562" s="152"/>
      <c r="AR562" s="152"/>
      <c r="AS562" s="152"/>
      <c r="AT562" s="152"/>
      <c r="AU562" s="152"/>
      <c r="AV562" s="153"/>
      <c r="AW562" s="1764" t="str">
        <f>IF(AND(AND(AND(AND(AS542="passed",AU549="passed",BD558="passed",SUM(T609:X613)&gt;1)))),"YES","NO")</f>
        <v>YES</v>
      </c>
      <c r="AX562" s="1765"/>
      <c r="AY562" s="1766"/>
      <c r="AZ562" s="40"/>
      <c r="BA562" s="40"/>
      <c r="BB562" s="40"/>
      <c r="BC562" s="40"/>
      <c r="BD562" s="40"/>
      <c r="BE562" s="21"/>
      <c r="BF562" s="21"/>
      <c r="BG562" s="21"/>
    </row>
    <row r="563" spans="1:96" s="4" customFormat="1" ht="12.75" customHeight="1">
      <c r="B563" s="63"/>
      <c r="I563" s="218"/>
      <c r="J563" s="160"/>
      <c r="N563" s="5"/>
      <c r="O563" s="1690"/>
      <c r="P563" s="1691"/>
      <c r="Q563" s="1692"/>
      <c r="R563" s="1689"/>
      <c r="S563" s="1689"/>
      <c r="T563" s="1689"/>
      <c r="U563" s="1689"/>
      <c r="V563" s="1689"/>
      <c r="W563" s="1689"/>
      <c r="X563" s="1689"/>
      <c r="Y563" s="1687"/>
      <c r="Z563" s="1687"/>
      <c r="AA563" s="1689"/>
      <c r="AB563" s="1689"/>
      <c r="AC563" s="1687"/>
      <c r="AD563" s="1687"/>
      <c r="AE563" s="1693"/>
      <c r="AF563" s="1694"/>
      <c r="AN563" s="279"/>
    </row>
    <row r="564" spans="1:96" s="4" customFormat="1" ht="12.75" customHeight="1">
      <c r="B564" s="63"/>
      <c r="I564" s="218"/>
      <c r="J564" s="160"/>
      <c r="N564" s="5"/>
      <c r="O564" s="1690"/>
      <c r="P564" s="1691"/>
      <c r="Q564" s="1692"/>
      <c r="R564" s="1689"/>
      <c r="S564" s="1689"/>
      <c r="T564" s="1689"/>
      <c r="U564" s="1689"/>
      <c r="V564" s="1689"/>
      <c r="W564" s="1687"/>
      <c r="X564" s="1687"/>
      <c r="Y564" s="1689"/>
      <c r="Z564" s="1689"/>
      <c r="AA564" s="1687"/>
      <c r="AB564" s="1687"/>
      <c r="AC564" s="1689"/>
      <c r="AD564" s="1689"/>
      <c r="AE564" s="1767"/>
      <c r="AF564" s="1768"/>
      <c r="AN564" s="279"/>
    </row>
    <row r="565" spans="1:96" s="4" customFormat="1" ht="12.75" customHeight="1">
      <c r="B565" s="63"/>
      <c r="I565" s="218"/>
      <c r="J565" s="160"/>
      <c r="N565" s="5"/>
      <c r="O565" s="1690"/>
      <c r="P565" s="1691"/>
      <c r="Q565" s="1692"/>
      <c r="R565" s="1689"/>
      <c r="S565" s="1689"/>
      <c r="T565" s="1689"/>
      <c r="U565" s="1689"/>
      <c r="V565" s="1689"/>
      <c r="W565" s="1689"/>
      <c r="X565" s="1689"/>
      <c r="Y565" s="1687"/>
      <c r="Z565" s="1687"/>
      <c r="AA565" s="1689"/>
      <c r="AB565" s="1689"/>
      <c r="AC565" s="1687"/>
      <c r="AD565" s="1687"/>
      <c r="AE565" s="1693"/>
      <c r="AF565" s="1694"/>
      <c r="AN565" s="279"/>
      <c r="AU565" s="21"/>
      <c r="AV565" s="21"/>
      <c r="AW565" s="8"/>
      <c r="AX565" s="9"/>
      <c r="AY565" s="9"/>
      <c r="AZ565" s="60" t="s">
        <v>1126</v>
      </c>
      <c r="BA565" s="1858" t="s">
        <v>714</v>
      </c>
      <c r="BB565" s="1859"/>
      <c r="BC565" s="1859"/>
      <c r="BD565" s="1859"/>
      <c r="BE565" s="1860"/>
      <c r="BF565" s="1877">
        <f>SUM(O609:S613)</f>
        <v>45</v>
      </c>
      <c r="BG565" s="1878"/>
      <c r="BH565" s="1878"/>
      <c r="BI565" s="1878"/>
      <c r="BJ565" s="1879"/>
      <c r="BK565" s="1703">
        <f>SUM(T609:X613)</f>
        <v>35</v>
      </c>
      <c r="BL565" s="1704"/>
      <c r="BM565" s="1704"/>
      <c r="BN565" s="1704"/>
      <c r="BO565" s="1705"/>
    </row>
    <row r="566" spans="1:96" s="4" customFormat="1" ht="12.75" customHeight="1">
      <c r="B566" s="35"/>
      <c r="I566" s="1534" t="s">
        <v>1496</v>
      </c>
      <c r="J566" s="1535"/>
      <c r="K566" s="1535"/>
      <c r="L566" s="1535"/>
      <c r="M566" s="1535"/>
      <c r="N566" s="1536"/>
      <c r="O566" s="1690">
        <v>0.5</v>
      </c>
      <c r="P566" s="1691"/>
      <c r="Q566" s="1918"/>
      <c r="R566" s="1717"/>
      <c r="S566" s="1689"/>
      <c r="T566" s="1689"/>
      <c r="U566" s="1715" t="s">
        <v>1500</v>
      </c>
      <c r="V566" s="1715"/>
      <c r="W566" s="1920">
        <v>37.5</v>
      </c>
      <c r="X566" s="1920"/>
      <c r="Y566" s="1717"/>
      <c r="Z566" s="1717"/>
      <c r="AA566" s="1920"/>
      <c r="AB566" s="1920"/>
      <c r="AC566" s="1717"/>
      <c r="AD566" s="1717"/>
      <c r="AE566" s="1868"/>
      <c r="AF566" s="1869"/>
      <c r="AN566" s="279"/>
      <c r="CL566"/>
      <c r="CM566"/>
    </row>
    <row r="567" spans="1:96" s="4" customFormat="1" ht="12.75" customHeight="1">
      <c r="B567" s="118"/>
      <c r="C567" s="61"/>
      <c r="I567" s="1534"/>
      <c r="J567" s="1535"/>
      <c r="K567" s="1535"/>
      <c r="L567" s="1535"/>
      <c r="M567" s="1535"/>
      <c r="N567" s="1536"/>
      <c r="O567" s="1690">
        <v>0.45</v>
      </c>
      <c r="P567" s="1691"/>
      <c r="Q567" s="1692"/>
      <c r="R567" s="1689"/>
      <c r="S567" s="1689"/>
      <c r="T567" s="1689"/>
      <c r="U567" s="1779" t="s">
        <v>130</v>
      </c>
      <c r="V567" s="1779"/>
      <c r="W567" s="1687">
        <v>33.799999999999997</v>
      </c>
      <c r="X567" s="1687"/>
      <c r="Y567" s="1687"/>
      <c r="Z567" s="1687"/>
      <c r="AA567" s="1689"/>
      <c r="AB567" s="1689"/>
      <c r="AC567" s="1687"/>
      <c r="AD567" s="1687"/>
      <c r="AE567" s="1693"/>
      <c r="AF567" s="1694"/>
      <c r="AN567" s="279"/>
      <c r="CL567"/>
      <c r="CM567"/>
    </row>
    <row r="568" spans="1:96" s="4" customFormat="1" ht="12.75" customHeight="1">
      <c r="B568" s="5"/>
      <c r="C568" s="5"/>
      <c r="D568" s="5"/>
      <c r="E568" s="5"/>
      <c r="I568" s="1534"/>
      <c r="J568" s="1535"/>
      <c r="K568" s="1535"/>
      <c r="L568" s="1535"/>
      <c r="M568" s="1535"/>
      <c r="N568" s="1536"/>
      <c r="O568" s="1690">
        <v>0.4</v>
      </c>
      <c r="P568" s="1691"/>
      <c r="Q568" s="1692"/>
      <c r="R568" s="1689"/>
      <c r="S568" s="1779" t="s">
        <v>1499</v>
      </c>
      <c r="T568" s="1779"/>
      <c r="U568" s="1687">
        <v>20</v>
      </c>
      <c r="V568" s="1687"/>
      <c r="W568" s="1687">
        <v>30</v>
      </c>
      <c r="X568" s="1687"/>
      <c r="Y568" s="1687"/>
      <c r="Z568" s="1687"/>
      <c r="AA568" s="1687"/>
      <c r="AB568" s="1687"/>
      <c r="AC568" s="1687"/>
      <c r="AD568" s="1687"/>
      <c r="AE568" s="1693"/>
      <c r="AF568" s="1694"/>
      <c r="AN568" s="279"/>
      <c r="AP568" s="1861" t="s">
        <v>205</v>
      </c>
      <c r="AQ568" s="1862"/>
      <c r="AR568" s="1862"/>
      <c r="AS568" s="1862"/>
      <c r="AT568" s="1862"/>
      <c r="AU568" s="1862"/>
      <c r="AV568" s="1862"/>
      <c r="AW568" s="1862"/>
      <c r="AX568" s="1862"/>
      <c r="AY568" s="1862"/>
      <c r="AZ568" s="1862"/>
      <c r="BA568" s="1862"/>
      <c r="BB568" s="1862"/>
      <c r="BC568" s="1862"/>
      <c r="BD568" s="1862"/>
      <c r="BE568" s="1862"/>
      <c r="BF568" s="1862"/>
      <c r="BG568" s="1862"/>
      <c r="BH568" s="1862"/>
      <c r="BI568" s="1862"/>
      <c r="BJ568" s="1863"/>
      <c r="BK568" s="1870">
        <f>BF565</f>
        <v>45</v>
      </c>
      <c r="BL568" s="1871"/>
      <c r="BM568" s="1871"/>
      <c r="BN568" s="1871"/>
      <c r="BO568" s="18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34"/>
      <c r="J569" s="1535"/>
      <c r="K569" s="1535"/>
      <c r="L569" s="1535"/>
      <c r="M569" s="1535"/>
      <c r="N569" s="1536"/>
      <c r="O569" s="1690">
        <v>0.35</v>
      </c>
      <c r="P569" s="1691"/>
      <c r="Q569" s="1692"/>
      <c r="R569" s="1689"/>
      <c r="S569" s="1779" t="s">
        <v>1751</v>
      </c>
      <c r="T569" s="1779"/>
      <c r="U569" s="1687">
        <v>17.5</v>
      </c>
      <c r="V569" s="1687"/>
      <c r="W569" s="1687">
        <v>26.3</v>
      </c>
      <c r="X569" s="1687"/>
      <c r="Y569" s="1687">
        <v>35</v>
      </c>
      <c r="Z569" s="1687"/>
      <c r="AA569" s="1687"/>
      <c r="AB569" s="1687"/>
      <c r="AC569" s="1687">
        <v>50</v>
      </c>
      <c r="AD569" s="1687"/>
      <c r="AE569" s="1693"/>
      <c r="AF569" s="1694"/>
      <c r="AN569" s="279"/>
      <c r="AP569" s="1864"/>
      <c r="AQ569" s="1865"/>
      <c r="AR569" s="1865"/>
      <c r="AS569" s="1865"/>
      <c r="AT569" s="1865"/>
      <c r="AU569" s="1865"/>
      <c r="AV569" s="1865"/>
      <c r="AW569" s="1865"/>
      <c r="AX569" s="1865"/>
      <c r="AY569" s="1865"/>
      <c r="AZ569" s="1865"/>
      <c r="BA569" s="1865"/>
      <c r="BB569" s="1865"/>
      <c r="BC569" s="1865"/>
      <c r="BD569" s="1865"/>
      <c r="BE569" s="1865"/>
      <c r="BF569" s="1865"/>
      <c r="BG569" s="1865"/>
      <c r="BH569" s="1865"/>
      <c r="BI569" s="1865"/>
      <c r="BJ569" s="1866"/>
      <c r="BK569" s="1873"/>
      <c r="BL569" s="1874"/>
      <c r="BM569" s="1874"/>
      <c r="BN569" s="1874"/>
      <c r="BO569" s="18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34"/>
      <c r="J570" s="1535"/>
      <c r="K570" s="1535"/>
      <c r="L570" s="1535"/>
      <c r="M570" s="1535"/>
      <c r="N570" s="1536"/>
      <c r="O570" s="1690">
        <v>0.3</v>
      </c>
      <c r="P570" s="1691"/>
      <c r="Q570" s="1692"/>
      <c r="R570" s="1689"/>
      <c r="S570" s="1779" t="s">
        <v>1752</v>
      </c>
      <c r="T570" s="1779"/>
      <c r="U570" s="1687">
        <v>15</v>
      </c>
      <c r="V570" s="1687"/>
      <c r="W570" s="1687">
        <v>22.5</v>
      </c>
      <c r="X570" s="1687"/>
      <c r="Y570" s="1687">
        <v>30</v>
      </c>
      <c r="Z570" s="1687"/>
      <c r="AA570" s="1687">
        <v>37.5</v>
      </c>
      <c r="AB570" s="1687"/>
      <c r="AC570" s="1687">
        <v>45</v>
      </c>
      <c r="AD570" s="1687"/>
      <c r="AE570" s="1693"/>
      <c r="AF570" s="1694"/>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471">
        <v>5</v>
      </c>
      <c r="BK570" s="1472"/>
      <c r="BL570" s="1472"/>
      <c r="BM570" s="1472"/>
      <c r="BN570" s="1473"/>
      <c r="BO570" s="1471">
        <v>4</v>
      </c>
      <c r="BP570" s="1472"/>
      <c r="BQ570" s="1472"/>
      <c r="BR570" s="1472"/>
      <c r="BS570" s="1473"/>
      <c r="BT570" s="1471">
        <v>3</v>
      </c>
      <c r="BU570" s="1472"/>
      <c r="BV570" s="1472"/>
      <c r="BW570" s="1472"/>
      <c r="BX570" s="1473"/>
      <c r="BY570" s="1471">
        <v>2</v>
      </c>
      <c r="BZ570" s="1472"/>
      <c r="CA570" s="1472"/>
      <c r="CB570" s="1472"/>
      <c r="CC570" s="1473"/>
      <c r="CD570" s="1471">
        <v>1</v>
      </c>
      <c r="CE570" s="1472"/>
      <c r="CF570" s="1472"/>
      <c r="CG570" s="1472"/>
      <c r="CH570" s="1473"/>
      <c r="CI570" s="1471">
        <v>0</v>
      </c>
      <c r="CJ570" s="1472"/>
      <c r="CK570" s="1472"/>
      <c r="CL570" s="1472"/>
      <c r="CM570" s="1473"/>
      <c r="CN570" s="21"/>
      <c r="CO570" s="21"/>
      <c r="CP570" s="21"/>
      <c r="CQ570" s="21"/>
      <c r="CR570" s="21"/>
    </row>
    <row r="571" spans="1:96" s="4" customFormat="1" ht="12.75" customHeight="1">
      <c r="B571" s="5"/>
      <c r="C571" s="5"/>
      <c r="D571" s="5"/>
      <c r="E571" s="5"/>
      <c r="I571" s="1534"/>
      <c r="J571" s="1535"/>
      <c r="K571" s="1535"/>
      <c r="L571" s="1535"/>
      <c r="M571" s="1535"/>
      <c r="N571" s="1536"/>
      <c r="O571" s="1690">
        <v>0.25</v>
      </c>
      <c r="P571" s="1691"/>
      <c r="Q571" s="1692"/>
      <c r="R571" s="1689"/>
      <c r="S571" s="1779" t="s">
        <v>1753</v>
      </c>
      <c r="T571" s="1779"/>
      <c r="U571" s="1687">
        <v>12.5</v>
      </c>
      <c r="V571" s="1687"/>
      <c r="W571" s="1687">
        <v>18.8</v>
      </c>
      <c r="X571" s="1687"/>
      <c r="Y571" s="1687">
        <v>25</v>
      </c>
      <c r="Z571" s="1687"/>
      <c r="AA571" s="1687">
        <v>31.3</v>
      </c>
      <c r="AB571" s="1687"/>
      <c r="AC571" s="1687">
        <v>37.5</v>
      </c>
      <c r="AD571" s="1687"/>
      <c r="AE571" s="1693">
        <v>50</v>
      </c>
      <c r="AF571" s="1694"/>
      <c r="AN571" s="279"/>
      <c r="AP571" s="1799" t="str">
        <f t="shared" ref="AP571:AP577" si="0">J608</f>
        <v>5 BR</v>
      </c>
      <c r="AQ571" s="1800"/>
      <c r="AR571" s="1800"/>
      <c r="AS571" s="1800"/>
      <c r="AT571" s="1801"/>
      <c r="AU571" s="1475">
        <f t="shared" ref="AU571:AU576" si="1">O608</f>
        <v>0</v>
      </c>
      <c r="AV571" s="1476"/>
      <c r="AW571" s="1476"/>
      <c r="AX571" s="1476"/>
      <c r="AY571" s="1477"/>
      <c r="AZ571" s="1475">
        <f t="shared" ref="AZ571:AZ576" si="2">T608</f>
        <v>0</v>
      </c>
      <c r="BA571" s="1476"/>
      <c r="BB571" s="1476"/>
      <c r="BC571" s="1476"/>
      <c r="BD571" s="1477"/>
      <c r="BE571" s="1796">
        <f t="shared" ref="BE571:BE576" si="3">Y608</f>
        <v>0</v>
      </c>
      <c r="BF571" s="1797"/>
      <c r="BG571" s="1797"/>
      <c r="BH571" s="1797"/>
      <c r="BI571" s="1798"/>
      <c r="BJ571" s="1471">
        <f>IF(OR(AP581=0,BE571&gt;=0.1),0,1)</f>
        <v>0</v>
      </c>
      <c r="BK571" s="1472"/>
      <c r="BL571" s="1472"/>
      <c r="BM571" s="1472"/>
      <c r="BN571" s="1473"/>
      <c r="BO571" s="1471"/>
      <c r="BP571" s="1472"/>
      <c r="BQ571" s="1472"/>
      <c r="BR571" s="1472"/>
      <c r="BS571" s="1473"/>
      <c r="BT571" s="1471"/>
      <c r="BU571" s="1472"/>
      <c r="BV571" s="1472"/>
      <c r="BW571" s="1472"/>
      <c r="BX571" s="1473"/>
      <c r="BY571" s="1471"/>
      <c r="BZ571" s="1472"/>
      <c r="CA571" s="1472"/>
      <c r="CB571" s="1472"/>
      <c r="CC571" s="1473"/>
      <c r="CD571" s="1471"/>
      <c r="CE571" s="1472"/>
      <c r="CF571" s="1472"/>
      <c r="CG571" s="1472"/>
      <c r="CH571" s="1473"/>
      <c r="CI571" s="1471"/>
      <c r="CJ571" s="1472"/>
      <c r="CK571" s="1472"/>
      <c r="CL571" s="1472"/>
      <c r="CM571" s="1473"/>
      <c r="CN571" s="21"/>
      <c r="CO571" s="21"/>
      <c r="CP571" s="21"/>
      <c r="CQ571" s="21"/>
      <c r="CR571" s="21"/>
    </row>
    <row r="572" spans="1:96" s="4" customFormat="1" ht="12.75" customHeight="1">
      <c r="A572" s="118"/>
      <c r="B572" s="5"/>
      <c r="C572" s="5"/>
      <c r="D572" s="5"/>
      <c r="E572" s="5"/>
      <c r="I572" s="1534"/>
      <c r="J572" s="1535"/>
      <c r="K572" s="1535"/>
      <c r="L572" s="1535"/>
      <c r="M572" s="1535"/>
      <c r="N572" s="1536"/>
      <c r="O572" s="1690">
        <v>0.2</v>
      </c>
      <c r="P572" s="1691"/>
      <c r="Q572" s="1692"/>
      <c r="R572" s="1689"/>
      <c r="S572" s="1826" t="s">
        <v>1756</v>
      </c>
      <c r="T572" s="1826"/>
      <c r="U572" s="1687">
        <v>10</v>
      </c>
      <c r="V572" s="1687"/>
      <c r="W572" s="1687">
        <v>15</v>
      </c>
      <c r="X572" s="1687"/>
      <c r="Y572" s="1687">
        <v>20</v>
      </c>
      <c r="Z572" s="1687"/>
      <c r="AA572" s="1687">
        <v>25</v>
      </c>
      <c r="AB572" s="1687"/>
      <c r="AC572" s="1687">
        <v>30</v>
      </c>
      <c r="AD572" s="1687"/>
      <c r="AE572" s="1693">
        <v>40</v>
      </c>
      <c r="AF572" s="1694"/>
      <c r="AN572" s="279"/>
      <c r="AP572" s="1799" t="str">
        <f t="shared" si="0"/>
        <v>4 BR</v>
      </c>
      <c r="AQ572" s="1800"/>
      <c r="AR572" s="1800"/>
      <c r="AS572" s="1800"/>
      <c r="AT572" s="1801"/>
      <c r="AU572" s="1475">
        <f t="shared" si="1"/>
        <v>0</v>
      </c>
      <c r="AV572" s="1476"/>
      <c r="AW572" s="1476"/>
      <c r="AX572" s="1476"/>
      <c r="AY572" s="1477"/>
      <c r="AZ572" s="1475">
        <f t="shared" si="2"/>
        <v>0</v>
      </c>
      <c r="BA572" s="1476"/>
      <c r="BB572" s="1476"/>
      <c r="BC572" s="1476"/>
      <c r="BD572" s="1477"/>
      <c r="BE572" s="1796">
        <f t="shared" si="3"/>
        <v>0</v>
      </c>
      <c r="BF572" s="1797"/>
      <c r="BG572" s="1797"/>
      <c r="BH572" s="1797"/>
      <c r="BI572" s="1798"/>
      <c r="BJ572" s="1471"/>
      <c r="BK572" s="1472"/>
      <c r="BL572" s="1472"/>
      <c r="BM572" s="1472"/>
      <c r="BN572" s="1473"/>
      <c r="BO572" s="1471">
        <f>IF(AND(AND(AZ571=0,BJ571=0,AP582=1)),1,0)</f>
        <v>0</v>
      </c>
      <c r="BP572" s="1472"/>
      <c r="BQ572" s="1472"/>
      <c r="BR572" s="1472"/>
      <c r="BS572" s="1473"/>
      <c r="BT572" s="1471"/>
      <c r="BU572" s="1472"/>
      <c r="BV572" s="1472"/>
      <c r="BW572" s="1472"/>
      <c r="BX572" s="1473"/>
      <c r="BY572" s="1471"/>
      <c r="BZ572" s="1472"/>
      <c r="CA572" s="1472"/>
      <c r="CB572" s="1472"/>
      <c r="CC572" s="1473"/>
      <c r="CD572" s="1471"/>
      <c r="CE572" s="1472"/>
      <c r="CF572" s="1472"/>
      <c r="CG572" s="1472"/>
      <c r="CH572" s="1473"/>
      <c r="CI572" s="1471"/>
      <c r="CJ572" s="1472"/>
      <c r="CK572" s="1472"/>
      <c r="CL572" s="1472"/>
      <c r="CM572" s="1473"/>
      <c r="CN572" s="21"/>
      <c r="CO572" s="21"/>
      <c r="CP572" s="21"/>
      <c r="CQ572" s="21"/>
      <c r="CR572" s="21"/>
    </row>
    <row r="573" spans="1:96" s="4" customFormat="1" ht="12.75" customHeight="1">
      <c r="A573" s="118"/>
      <c r="B573" s="5"/>
      <c r="C573" s="5"/>
      <c r="D573" s="5"/>
      <c r="E573" s="5"/>
      <c r="I573" s="1534"/>
      <c r="J573" s="1535"/>
      <c r="K573" s="1535"/>
      <c r="L573" s="1535"/>
      <c r="M573" s="1535"/>
      <c r="N573" s="1536"/>
      <c r="O573" s="1690">
        <v>0.15</v>
      </c>
      <c r="P573" s="1691"/>
      <c r="Q573" s="1692"/>
      <c r="R573" s="1689"/>
      <c r="S573" s="1779" t="s">
        <v>1754</v>
      </c>
      <c r="T573" s="1779"/>
      <c r="U573" s="1687">
        <v>7.5</v>
      </c>
      <c r="V573" s="1687"/>
      <c r="W573" s="1687">
        <v>11.3</v>
      </c>
      <c r="X573" s="1687"/>
      <c r="Y573" s="1687">
        <v>15</v>
      </c>
      <c r="Z573" s="1687"/>
      <c r="AA573" s="1687">
        <v>18.8</v>
      </c>
      <c r="AB573" s="1687"/>
      <c r="AC573" s="1687">
        <v>22.5</v>
      </c>
      <c r="AD573" s="1687"/>
      <c r="AE573" s="1693">
        <v>30</v>
      </c>
      <c r="AF573" s="1694"/>
      <c r="AN573" s="279"/>
      <c r="AP573" s="1799" t="str">
        <f t="shared" si="0"/>
        <v>3 BR</v>
      </c>
      <c r="AQ573" s="1800"/>
      <c r="AR573" s="1800"/>
      <c r="AS573" s="1800"/>
      <c r="AT573" s="1801"/>
      <c r="AU573" s="1475">
        <f t="shared" si="1"/>
        <v>0</v>
      </c>
      <c r="AV573" s="1476"/>
      <c r="AW573" s="1476"/>
      <c r="AX573" s="1476"/>
      <c r="AY573" s="1477"/>
      <c r="AZ573" s="1475">
        <f t="shared" si="2"/>
        <v>0</v>
      </c>
      <c r="BA573" s="1476"/>
      <c r="BB573" s="1476"/>
      <c r="BC573" s="1476"/>
      <c r="BD573" s="1477"/>
      <c r="BE573" s="1796">
        <f t="shared" si="3"/>
        <v>0</v>
      </c>
      <c r="BF573" s="1797"/>
      <c r="BG573" s="1797"/>
      <c r="BH573" s="1797"/>
      <c r="BI573" s="1798"/>
      <c r="BJ573" s="1471"/>
      <c r="BK573" s="1472"/>
      <c r="BL573" s="1472"/>
      <c r="BM573" s="1472"/>
      <c r="BN573" s="1473"/>
      <c r="BO573" s="1471"/>
      <c r="BP573" s="1472"/>
      <c r="BQ573" s="1472"/>
      <c r="BR573" s="1472"/>
      <c r="BS573" s="1473"/>
      <c r="BT573" s="1471">
        <f>IF(AND(AND(AZ571+AZ572=0,BJ571+BO572=0,AP583=1)),1,0)</f>
        <v>0</v>
      </c>
      <c r="BU573" s="1472"/>
      <c r="BV573" s="1472"/>
      <c r="BW573" s="1472"/>
      <c r="BX573" s="1473"/>
      <c r="BY573" s="1471"/>
      <c r="BZ573" s="1472"/>
      <c r="CA573" s="1472"/>
      <c r="CB573" s="1472"/>
      <c r="CC573" s="1473"/>
      <c r="CD573" s="1471"/>
      <c r="CE573" s="1472"/>
      <c r="CF573" s="1472"/>
      <c r="CG573" s="1472"/>
      <c r="CH573" s="1473"/>
      <c r="CI573" s="1471"/>
      <c r="CJ573" s="1472"/>
      <c r="CK573" s="1472"/>
      <c r="CL573" s="1472"/>
      <c r="CM573" s="1473"/>
      <c r="CN573" s="21"/>
      <c r="CO573" s="21"/>
      <c r="CP573" s="21"/>
      <c r="CQ573" s="21"/>
      <c r="CR573" s="21"/>
    </row>
    <row r="574" spans="1:96" s="4" customFormat="1" ht="12.75" customHeight="1" thickBot="1">
      <c r="B574" s="5"/>
      <c r="C574" s="5"/>
      <c r="D574" s="5"/>
      <c r="E574" s="5"/>
      <c r="I574" s="1537"/>
      <c r="J574" s="1538"/>
      <c r="K574" s="1538"/>
      <c r="L574" s="1538"/>
      <c r="M574" s="1538"/>
      <c r="N574" s="1539"/>
      <c r="O574" s="1690">
        <v>0.1</v>
      </c>
      <c r="P574" s="1691"/>
      <c r="Q574" s="1824"/>
      <c r="R574" s="1825"/>
      <c r="S574" s="1779" t="s">
        <v>1755</v>
      </c>
      <c r="T574" s="1779"/>
      <c r="U574" s="1795">
        <v>5</v>
      </c>
      <c r="V574" s="1795"/>
      <c r="W574" s="1795">
        <v>7.5</v>
      </c>
      <c r="X574" s="1795"/>
      <c r="Y574" s="1795">
        <v>10</v>
      </c>
      <c r="Z574" s="1795"/>
      <c r="AA574" s="1795">
        <v>12.5</v>
      </c>
      <c r="AB574" s="1795"/>
      <c r="AC574" s="1795">
        <v>15</v>
      </c>
      <c r="AD574" s="1795"/>
      <c r="AE574" s="1821">
        <v>20</v>
      </c>
      <c r="AF574" s="1822"/>
      <c r="AK574" s="165"/>
      <c r="AL574" s="165"/>
      <c r="AM574" s="5"/>
      <c r="AN574" s="279"/>
      <c r="AP574" s="1799" t="str">
        <f t="shared" si="0"/>
        <v>2 BR</v>
      </c>
      <c r="AQ574" s="1800"/>
      <c r="AR574" s="1800"/>
      <c r="AS574" s="1800"/>
      <c r="AT574" s="1801"/>
      <c r="AU574" s="1475">
        <f t="shared" si="1"/>
        <v>2</v>
      </c>
      <c r="AV574" s="1476"/>
      <c r="AW574" s="1476"/>
      <c r="AX574" s="1476"/>
      <c r="AY574" s="1477"/>
      <c r="AZ574" s="1475">
        <f t="shared" si="2"/>
        <v>1</v>
      </c>
      <c r="BA574" s="1476"/>
      <c r="BB574" s="1476"/>
      <c r="BC574" s="1476"/>
      <c r="BD574" s="1477"/>
      <c r="BE574" s="1796">
        <f t="shared" si="3"/>
        <v>0.5</v>
      </c>
      <c r="BF574" s="1797"/>
      <c r="BG574" s="1797"/>
      <c r="BH574" s="1797"/>
      <c r="BI574" s="1798"/>
      <c r="BJ574" s="1471"/>
      <c r="BK574" s="1472"/>
      <c r="BL574" s="1472"/>
      <c r="BM574" s="1472"/>
      <c r="BN574" s="1473"/>
      <c r="BO574" s="1471"/>
      <c r="BP574" s="1472"/>
      <c r="BQ574" s="1472"/>
      <c r="BR574" s="1472"/>
      <c r="BS574" s="1473"/>
      <c r="BT574" s="1471"/>
      <c r="BU574" s="1472"/>
      <c r="BV574" s="1472"/>
      <c r="BW574" s="1472"/>
      <c r="BX574" s="1473"/>
      <c r="BY574" s="1471">
        <f>IF(AND(AND(AZ571+AZ572+AZ573=0,BO572+BT573+BJ571=0,AP584=1)),1,0)</f>
        <v>0</v>
      </c>
      <c r="BZ574" s="1472"/>
      <c r="CA574" s="1472"/>
      <c r="CB574" s="1472"/>
      <c r="CC574" s="1473"/>
      <c r="CD574" s="1471"/>
      <c r="CE574" s="1472"/>
      <c r="CF574" s="1472"/>
      <c r="CG574" s="1472"/>
      <c r="CH574" s="1473"/>
      <c r="CI574" s="1471"/>
      <c r="CJ574" s="1472"/>
      <c r="CK574" s="1472"/>
      <c r="CL574" s="1472"/>
      <c r="CM574" s="1473"/>
      <c r="CN574" s="21"/>
      <c r="CO574" s="21"/>
      <c r="CP574" s="21"/>
      <c r="CQ574" s="21"/>
      <c r="CR574" s="21"/>
    </row>
    <row r="575" spans="1:96" s="4" customFormat="1" ht="12.75" customHeight="1">
      <c r="B575" s="5"/>
      <c r="C575" s="5"/>
      <c r="D575" s="5"/>
      <c r="E575" s="1578" t="s">
        <v>939</v>
      </c>
      <c r="F575" s="1571"/>
      <c r="G575" s="1571"/>
      <c r="H575" s="1571"/>
      <c r="I575" s="1571"/>
      <c r="J575" s="1571"/>
      <c r="K575" s="1571"/>
      <c r="L575" s="1571"/>
      <c r="M575" s="1571"/>
      <c r="N575" s="1571"/>
      <c r="O575" s="1571"/>
      <c r="P575" s="1571"/>
      <c r="Q575" s="1571"/>
      <c r="R575" s="1571"/>
      <c r="S575" s="1571"/>
      <c r="T575" s="1571"/>
      <c r="U575" s="1571"/>
      <c r="V575" s="1571"/>
      <c r="W575" s="1571"/>
      <c r="X575" s="1571"/>
      <c r="Y575" s="1571"/>
      <c r="Z575" s="1571"/>
      <c r="AA575" s="1571"/>
      <c r="AB575" s="1571"/>
      <c r="AC575" s="1571"/>
      <c r="AD575" s="1571"/>
      <c r="AE575" s="1571"/>
      <c r="AF575" s="1571"/>
      <c r="AG575" s="1571"/>
      <c r="AH575" s="1572"/>
      <c r="AK575" s="165"/>
      <c r="AL575" s="165"/>
      <c r="AM575" s="5"/>
      <c r="AN575" s="279"/>
      <c r="AP575" s="1799" t="str">
        <f t="shared" si="0"/>
        <v>1 BR</v>
      </c>
      <c r="AQ575" s="1800"/>
      <c r="AR575" s="1800"/>
      <c r="AS575" s="1800"/>
      <c r="AT575" s="1801"/>
      <c r="AU575" s="1475">
        <f t="shared" si="1"/>
        <v>25</v>
      </c>
      <c r="AV575" s="1476"/>
      <c r="AW575" s="1476"/>
      <c r="AX575" s="1476"/>
      <c r="AY575" s="1477"/>
      <c r="AZ575" s="1475">
        <f t="shared" si="2"/>
        <v>20</v>
      </c>
      <c r="BA575" s="1476"/>
      <c r="BB575" s="1476"/>
      <c r="BC575" s="1476"/>
      <c r="BD575" s="1477"/>
      <c r="BE575" s="1796">
        <f t="shared" si="3"/>
        <v>0.8</v>
      </c>
      <c r="BF575" s="1797"/>
      <c r="BG575" s="1797"/>
      <c r="BH575" s="1797"/>
      <c r="BI575" s="1798"/>
      <c r="BJ575" s="1471"/>
      <c r="BK575" s="1472"/>
      <c r="BL575" s="1472"/>
      <c r="BM575" s="1472"/>
      <c r="BN575" s="1473"/>
      <c r="BO575" s="1471"/>
      <c r="BP575" s="1472"/>
      <c r="BQ575" s="1472"/>
      <c r="BR575" s="1472"/>
      <c r="BS575" s="1473"/>
      <c r="BT575" s="1471"/>
      <c r="BU575" s="1472"/>
      <c r="BV575" s="1472"/>
      <c r="BW575" s="1472"/>
      <c r="BX575" s="1473"/>
      <c r="BY575" s="1471"/>
      <c r="BZ575" s="1472"/>
      <c r="CA575" s="1472"/>
      <c r="CB575" s="1472"/>
      <c r="CC575" s="1473"/>
      <c r="CD575" s="1471">
        <f>IF(AND(AND(BE572+BE573+BE574+BE571=0,BT573+BY574+BO572+BJ571=0,AP585=1)),1,0)</f>
        <v>0</v>
      </c>
      <c r="CE575" s="1472"/>
      <c r="CF575" s="1472"/>
      <c r="CG575" s="1472"/>
      <c r="CH575" s="1473"/>
      <c r="CI575" s="1471"/>
      <c r="CJ575" s="1472"/>
      <c r="CK575" s="1472"/>
      <c r="CL575" s="1472"/>
      <c r="CM575" s="1473"/>
      <c r="CN575" s="21"/>
      <c r="CO575" s="21"/>
      <c r="CP575" s="21"/>
      <c r="CQ575" s="21"/>
      <c r="CR575" s="21"/>
    </row>
    <row r="576" spans="1:96" s="4" customFormat="1" ht="12.75" customHeight="1">
      <c r="E576" s="1785"/>
      <c r="F576" s="1217"/>
      <c r="G576" s="1217"/>
      <c r="H576" s="1217"/>
      <c r="I576" s="1217"/>
      <c r="J576" s="1217"/>
      <c r="K576" s="1217"/>
      <c r="L576" s="1217"/>
      <c r="M576" s="1217"/>
      <c r="N576" s="1217"/>
      <c r="O576" s="1217"/>
      <c r="P576" s="1217"/>
      <c r="Q576" s="1217"/>
      <c r="R576" s="1217"/>
      <c r="S576" s="1217"/>
      <c r="T576" s="1217"/>
      <c r="U576" s="1217"/>
      <c r="V576" s="1217"/>
      <c r="W576" s="1217"/>
      <c r="X576" s="1217"/>
      <c r="Y576" s="1217"/>
      <c r="Z576" s="1217"/>
      <c r="AA576" s="1217"/>
      <c r="AB576" s="1217"/>
      <c r="AC576" s="1217"/>
      <c r="AD576" s="1217"/>
      <c r="AE576" s="1217"/>
      <c r="AF576" s="1217"/>
      <c r="AG576" s="1217"/>
      <c r="AH576" s="1786"/>
      <c r="AN576" s="279"/>
      <c r="AP576" s="1799" t="str">
        <f t="shared" si="0"/>
        <v>SRO</v>
      </c>
      <c r="AQ576" s="1800"/>
      <c r="AR576" s="1800"/>
      <c r="AS576" s="1800"/>
      <c r="AT576" s="1801"/>
      <c r="AU576" s="1475">
        <f t="shared" si="1"/>
        <v>18</v>
      </c>
      <c r="AV576" s="1476"/>
      <c r="AW576" s="1476"/>
      <c r="AX576" s="1476"/>
      <c r="AY576" s="1477"/>
      <c r="AZ576" s="1475">
        <f t="shared" si="2"/>
        <v>14</v>
      </c>
      <c r="BA576" s="1476"/>
      <c r="BB576" s="1476"/>
      <c r="BC576" s="1476"/>
      <c r="BD576" s="1477"/>
      <c r="BE576" s="1796">
        <f t="shared" si="3"/>
        <v>0.77777777777777779</v>
      </c>
      <c r="BF576" s="1797"/>
      <c r="BG576" s="1797"/>
      <c r="BH576" s="1797"/>
      <c r="BI576" s="1798"/>
      <c r="BJ576" s="1471"/>
      <c r="BK576" s="1472"/>
      <c r="BL576" s="1472"/>
      <c r="BM576" s="1472"/>
      <c r="BN576" s="1473"/>
      <c r="BO576" s="1471"/>
      <c r="BP576" s="1472"/>
      <c r="BQ576" s="1472"/>
      <c r="BR576" s="1472"/>
      <c r="BS576" s="1473"/>
      <c r="BT576" s="1471"/>
      <c r="BU576" s="1472"/>
      <c r="BV576" s="1472"/>
      <c r="BW576" s="1472"/>
      <c r="BX576" s="1473"/>
      <c r="BY576" s="1471"/>
      <c r="BZ576" s="1472"/>
      <c r="CA576" s="1472"/>
      <c r="CB576" s="1472"/>
      <c r="CC576" s="1473"/>
      <c r="CD576" s="1471"/>
      <c r="CE576" s="1472"/>
      <c r="CF576" s="1472"/>
      <c r="CG576" s="1472"/>
      <c r="CH576" s="1473"/>
      <c r="CI576" s="1471">
        <f>IF(AND(AND(AZ573+AZ574+AZ575+AZ572+AZ571=0,BY574+CD575+BT573+BO572+BJ571=0,AP586=1)),1,0)</f>
        <v>0</v>
      </c>
      <c r="CJ576" s="1472"/>
      <c r="CK576" s="1472"/>
      <c r="CL576" s="1472"/>
      <c r="CM576" s="1473"/>
      <c r="CN576" s="21"/>
      <c r="CO576" s="21"/>
      <c r="CP576" s="21"/>
      <c r="CQ576" s="21"/>
      <c r="CR576" s="21"/>
    </row>
    <row r="577" spans="5:96" s="4" customFormat="1" ht="12.75" customHeight="1">
      <c r="E577" s="1679" t="s">
        <v>1506</v>
      </c>
      <c r="F577" s="1680"/>
      <c r="G577" s="1680"/>
      <c r="H577" s="1680"/>
      <c r="I577" s="1680"/>
      <c r="J577" s="1681"/>
      <c r="K577" s="1679" t="s">
        <v>2304</v>
      </c>
      <c r="L577" s="1680"/>
      <c r="M577" s="1680"/>
      <c r="N577" s="1680"/>
      <c r="O577" s="1680"/>
      <c r="P577" s="1681"/>
      <c r="Q577" s="1531" t="s">
        <v>1502</v>
      </c>
      <c r="R577" s="1532"/>
      <c r="S577" s="1532"/>
      <c r="T577" s="1532"/>
      <c r="U577" s="1532"/>
      <c r="V577" s="1533"/>
      <c r="W577" s="1531" t="str">
        <f>I566</f>
        <v>Percent of Low-Income Units (exclusive of manager’s units)</v>
      </c>
      <c r="X577" s="1532"/>
      <c r="Y577" s="1532"/>
      <c r="Z577" s="1532"/>
      <c r="AA577" s="1532"/>
      <c r="AB577" s="1533"/>
      <c r="AC577" s="1531" t="s">
        <v>1505</v>
      </c>
      <c r="AD577" s="1532"/>
      <c r="AE577" s="1532"/>
      <c r="AF577" s="1532"/>
      <c r="AG577" s="1532"/>
      <c r="AH577" s="1533"/>
      <c r="AN577" s="279"/>
      <c r="AP577" s="1799" t="str">
        <f t="shared" si="0"/>
        <v>Total:</v>
      </c>
      <c r="AQ577" s="1800"/>
      <c r="AR577" s="1800"/>
      <c r="AS577" s="1800"/>
      <c r="AT577" s="1801"/>
      <c r="AU577" s="1799"/>
      <c r="AV577" s="1800"/>
      <c r="AW577" s="1800"/>
      <c r="AX577" s="1800"/>
      <c r="AY577" s="1801"/>
      <c r="AZ577" s="1799"/>
      <c r="BA577" s="1800"/>
      <c r="BB577" s="1800"/>
      <c r="BC577" s="1800"/>
      <c r="BD577" s="1801"/>
      <c r="BE577" s="1799"/>
      <c r="BF577" s="1800"/>
      <c r="BG577" s="1800"/>
      <c r="BH577" s="1800"/>
      <c r="BI577" s="1801"/>
      <c r="BJ577" s="1471">
        <f>SUM(BJ571:BN576)</f>
        <v>0</v>
      </c>
      <c r="BK577" s="1472"/>
      <c r="BL577" s="1472"/>
      <c r="BM577" s="1472"/>
      <c r="BN577" s="1473"/>
      <c r="BO577" s="1471">
        <f>SUM(BO571:BS576)</f>
        <v>0</v>
      </c>
      <c r="BP577" s="1472"/>
      <c r="BQ577" s="1472"/>
      <c r="BR577" s="1472"/>
      <c r="BS577" s="1473"/>
      <c r="BT577" s="1471">
        <f>SUM(BT571:BX576)</f>
        <v>0</v>
      </c>
      <c r="BU577" s="1472"/>
      <c r="BV577" s="1472"/>
      <c r="BW577" s="1472"/>
      <c r="BX577" s="1473"/>
      <c r="BY577" s="1471">
        <f>SUM(BY571:CC576)</f>
        <v>0</v>
      </c>
      <c r="BZ577" s="1472"/>
      <c r="CA577" s="1472"/>
      <c r="CB577" s="1472"/>
      <c r="CC577" s="1473"/>
      <c r="CD577" s="1471">
        <f>SUM(CD571:CH576)</f>
        <v>0</v>
      </c>
      <c r="CE577" s="1472"/>
      <c r="CF577" s="1472"/>
      <c r="CG577" s="1472"/>
      <c r="CH577" s="1473"/>
      <c r="CI577" s="1471">
        <f>SUM(CI571:CM576)</f>
        <v>0</v>
      </c>
      <c r="CJ577" s="1472"/>
      <c r="CK577" s="1472"/>
      <c r="CL577" s="1472"/>
      <c r="CM577" s="1473"/>
      <c r="CN577" s="1471">
        <f>SUM(BJ577:CM577)</f>
        <v>0</v>
      </c>
      <c r="CO577" s="1472"/>
      <c r="CP577" s="1472"/>
      <c r="CQ577" s="1472"/>
      <c r="CR577" s="1473"/>
    </row>
    <row r="578" spans="5:96" s="4" customFormat="1" ht="12.75" customHeight="1">
      <c r="E578" s="1682"/>
      <c r="F578" s="1683"/>
      <c r="G578" s="1683"/>
      <c r="H578" s="1683"/>
      <c r="I578" s="1683"/>
      <c r="J578" s="1684"/>
      <c r="K578" s="1682"/>
      <c r="L578" s="1683"/>
      <c r="M578" s="1683"/>
      <c r="N578" s="1683"/>
      <c r="O578" s="1683"/>
      <c r="P578" s="1684"/>
      <c r="Q578" s="1534"/>
      <c r="R578" s="1535"/>
      <c r="S578" s="1535"/>
      <c r="T578" s="1535"/>
      <c r="U578" s="1535"/>
      <c r="V578" s="1536"/>
      <c r="W578" s="1534"/>
      <c r="X578" s="1535"/>
      <c r="Y578" s="1535"/>
      <c r="Z578" s="1535"/>
      <c r="AA578" s="1535"/>
      <c r="AB578" s="1536"/>
      <c r="AC578" s="1534"/>
      <c r="AD578" s="1535"/>
      <c r="AE578" s="1535"/>
      <c r="AF578" s="1535"/>
      <c r="AG578" s="1535"/>
      <c r="AH578" s="1536"/>
      <c r="AN578" s="279"/>
    </row>
    <row r="579" spans="5:96" s="4" customFormat="1" ht="12.75" customHeight="1">
      <c r="E579" s="1682"/>
      <c r="F579" s="1683"/>
      <c r="G579" s="1683"/>
      <c r="H579" s="1683"/>
      <c r="I579" s="1683"/>
      <c r="J579" s="1684"/>
      <c r="K579" s="1682"/>
      <c r="L579" s="1683"/>
      <c r="M579" s="1683"/>
      <c r="N579" s="1683"/>
      <c r="O579" s="1683"/>
      <c r="P579" s="1684"/>
      <c r="Q579" s="1534"/>
      <c r="R579" s="1535"/>
      <c r="S579" s="1535"/>
      <c r="T579" s="1535"/>
      <c r="U579" s="1535"/>
      <c r="V579" s="1536"/>
      <c r="W579" s="1534"/>
      <c r="X579" s="1535"/>
      <c r="Y579" s="1535"/>
      <c r="Z579" s="1535"/>
      <c r="AA579" s="1535"/>
      <c r="AB579" s="1536"/>
      <c r="AC579" s="1534"/>
      <c r="AD579" s="1535"/>
      <c r="AE579" s="1535"/>
      <c r="AF579" s="1535"/>
      <c r="AG579" s="1535"/>
      <c r="AH579" s="1536"/>
      <c r="AN579" s="279"/>
    </row>
    <row r="580" spans="5:96" s="4" customFormat="1" ht="12.75" customHeight="1">
      <c r="E580" s="1682"/>
      <c r="F580" s="1683"/>
      <c r="G580" s="1683"/>
      <c r="H580" s="1683"/>
      <c r="I580" s="1683"/>
      <c r="J580" s="1684"/>
      <c r="K580" s="1682"/>
      <c r="L580" s="1683"/>
      <c r="M580" s="1683"/>
      <c r="N580" s="1683"/>
      <c r="O580" s="1683"/>
      <c r="P580" s="1684"/>
      <c r="Q580" s="1534"/>
      <c r="R580" s="1535"/>
      <c r="S580" s="1535"/>
      <c r="T580" s="1535"/>
      <c r="U580" s="1535"/>
      <c r="V580" s="1536"/>
      <c r="W580" s="1534"/>
      <c r="X580" s="1535"/>
      <c r="Y580" s="1535"/>
      <c r="Z580" s="1535"/>
      <c r="AA580" s="1535"/>
      <c r="AB580" s="1536"/>
      <c r="AC580" s="1534"/>
      <c r="AD580" s="1535"/>
      <c r="AE580" s="1535"/>
      <c r="AF580" s="1535"/>
      <c r="AG580" s="1535"/>
      <c r="AH580" s="1536"/>
      <c r="AN580" s="279"/>
      <c r="AP580" s="3" t="s">
        <v>1127</v>
      </c>
      <c r="BH580" s="3" t="s">
        <v>1128</v>
      </c>
    </row>
    <row r="581" spans="5:96" s="4" customFormat="1" ht="12.75" customHeight="1">
      <c r="E581" s="1700"/>
      <c r="F581" s="1701"/>
      <c r="G581" s="1701"/>
      <c r="H581" s="1701"/>
      <c r="I581" s="1701"/>
      <c r="J581" s="1702"/>
      <c r="K581" s="1703">
        <v>20</v>
      </c>
      <c r="L581" s="1704"/>
      <c r="M581" s="1704"/>
      <c r="N581" s="1704"/>
      <c r="O581" s="1704"/>
      <c r="P581" s="1705"/>
      <c r="Q581" s="1776">
        <f>IF(ISERROR(IF((((E581/$BJ$528)*100)&gt;100),"EXCESSIVE VALUE",(E581/$BJ$528)*100)),0,IF((((E581/$BJ$528)*100)&gt;100),"EXCESSIVE VALUE",(E581/$BJ$528)*100))</f>
        <v>0</v>
      </c>
      <c r="R581" s="1777"/>
      <c r="S581" s="1777"/>
      <c r="T581" s="1777"/>
      <c r="U581" s="1777"/>
      <c r="V581" s="1778"/>
      <c r="W581" s="1773">
        <f>IF(FLOOR(Q581,5)&gt;80,80,FLOOR(Q581,5))</f>
        <v>0</v>
      </c>
      <c r="X581" s="1774"/>
      <c r="Y581" s="1774"/>
      <c r="Z581" s="1774"/>
      <c r="AA581" s="1774"/>
      <c r="AB581" s="1775"/>
      <c r="AC581" s="1773">
        <f>IFERROR(IF(W581&gt;0,INDEX($BI$507:$BP$521,MATCH(W581,$BH$507:$BH$521,0),MATCH(K581,$BI$506:$BP$506,0)),0),0)</f>
        <v>0</v>
      </c>
      <c r="AD581" s="1774"/>
      <c r="AE581" s="1774"/>
      <c r="AF581" s="1774"/>
      <c r="AG581" s="1774"/>
      <c r="AH581" s="1775"/>
      <c r="AN581" s="279"/>
      <c r="AO581" s="4">
        <v>5</v>
      </c>
      <c r="AP581" s="1703">
        <f t="shared" ref="AP581:AP586" si="4">IF(OR(BE571&gt;=0.1,BE571=0),0,1)</f>
        <v>0</v>
      </c>
      <c r="AQ581" s="1704"/>
      <c r="AR581" s="1704"/>
      <c r="AS581" s="1704"/>
      <c r="AT581" s="1705"/>
      <c r="AX581" s="1735" t="s">
        <v>794</v>
      </c>
      <c r="AY581" s="1748"/>
      <c r="AZ581" s="1748"/>
      <c r="BA581" s="1748"/>
      <c r="BB581" s="1748"/>
      <c r="BC581" s="1748"/>
      <c r="BD581" s="1748"/>
      <c r="BE581" s="1748"/>
      <c r="BF581" s="1748"/>
      <c r="BG581" s="1748"/>
      <c r="BH581" s="1748"/>
      <c r="BI581" s="1748"/>
      <c r="BJ581" s="1748"/>
      <c r="BK581" s="1748"/>
      <c r="BL581" s="1748"/>
      <c r="BM581" s="1748"/>
      <c r="BN581" s="1748"/>
      <c r="BO581" s="1748"/>
      <c r="BP581" s="1748"/>
      <c r="BQ581" s="1736"/>
    </row>
    <row r="582" spans="5:96" s="4" customFormat="1" ht="12.75" customHeight="1">
      <c r="E582" s="1823">
        <f>+Application!G703+Application!G704+Application!G706+Application!G707+Application!G709</f>
        <v>35</v>
      </c>
      <c r="F582" s="1701"/>
      <c r="G582" s="1701"/>
      <c r="H582" s="1701"/>
      <c r="I582" s="1701"/>
      <c r="J582" s="1702"/>
      <c r="K582" s="1703">
        <v>30</v>
      </c>
      <c r="L582" s="1704"/>
      <c r="M582" s="1704"/>
      <c r="N582" s="1704"/>
      <c r="O582" s="1704"/>
      <c r="P582" s="1705"/>
      <c r="Q582" s="1776">
        <f>IF(ISERROR(IF((((E582/$BJ$528)*100)&gt;100),"EXCESSIVE VALUE",(E582/$BJ$528)*100)),0,IF((((E582/$BJ$528)*100)&gt;100),"EXCESSIVE VALUE",(E582/$BJ$528)*100))</f>
        <v>77.777777777777786</v>
      </c>
      <c r="R582" s="1777"/>
      <c r="S582" s="1777"/>
      <c r="T582" s="1777"/>
      <c r="U582" s="1777"/>
      <c r="V582" s="1778"/>
      <c r="W582" s="1773">
        <f>IF(FLOOR(Q582,5)&gt;80,80,FLOOR(Q582,5))</f>
        <v>75</v>
      </c>
      <c r="X582" s="1774"/>
      <c r="Y582" s="1774"/>
      <c r="Z582" s="1774"/>
      <c r="AA582" s="1774"/>
      <c r="AB582" s="1775"/>
      <c r="AC582" s="1773">
        <f t="shared" ref="AC582:AC586" si="5">IFERROR(IF(W582&gt;0,INDEX($BI$507:$BP$521,MATCH(W582,$BH$507:$BH$521,0),MATCH(K582,$BI$506:$BP$506,0)),0),0)</f>
        <v>50</v>
      </c>
      <c r="AD582" s="1774"/>
      <c r="AE582" s="1774"/>
      <c r="AF582" s="1774"/>
      <c r="AG582" s="1774"/>
      <c r="AH582" s="1775"/>
      <c r="AN582" s="279"/>
      <c r="AO582" s="4">
        <v>4</v>
      </c>
      <c r="AP582" s="1703">
        <f t="shared" si="4"/>
        <v>0</v>
      </c>
      <c r="AQ582" s="1704"/>
      <c r="AR582" s="1704"/>
      <c r="AS582" s="1704"/>
      <c r="AT582" s="1705"/>
      <c r="AX582" s="1783" t="s">
        <v>616</v>
      </c>
      <c r="AY582" s="1784"/>
      <c r="AZ582" s="1291" t="s">
        <v>616</v>
      </c>
      <c r="BA582" s="1293"/>
      <c r="BB582" s="1783" t="s">
        <v>265</v>
      </c>
      <c r="BC582" s="1784"/>
      <c r="BD582" s="1745" t="s">
        <v>265</v>
      </c>
      <c r="BE582" s="1747"/>
      <c r="BF582" s="1783" t="s">
        <v>264</v>
      </c>
      <c r="BG582" s="1784"/>
      <c r="BH582" s="1745" t="s">
        <v>264</v>
      </c>
      <c r="BI582" s="1747"/>
      <c r="BJ582" s="1783" t="s">
        <v>263</v>
      </c>
      <c r="BK582" s="1784"/>
      <c r="BL582" s="1745" t="s">
        <v>263</v>
      </c>
      <c r="BM582" s="1747"/>
      <c r="BN582" s="1783" t="s">
        <v>615</v>
      </c>
      <c r="BO582" s="1784"/>
      <c r="BP582" s="1745" t="s">
        <v>615</v>
      </c>
      <c r="BQ582" s="1747"/>
    </row>
    <row r="583" spans="5:96" s="4" customFormat="1" ht="12.75" customHeight="1">
      <c r="E583" s="1700"/>
      <c r="F583" s="1701"/>
      <c r="G583" s="1701"/>
      <c r="H583" s="1701"/>
      <c r="I583" s="1701"/>
      <c r="J583" s="1702"/>
      <c r="K583" s="1703">
        <v>35</v>
      </c>
      <c r="L583" s="1704"/>
      <c r="M583" s="1704"/>
      <c r="N583" s="1704"/>
      <c r="O583" s="1704"/>
      <c r="P583" s="1705"/>
      <c r="Q583" s="1776">
        <f t="shared" ref="Q583:Q589" si="6">IF(ISERROR(IF((((E583/$BJ$528)*100)&gt;100),"EXCESSIVE VALUE",(E583/$BJ$528)*100)),0,IF((((E583/$BJ$528)*100)&gt;100),"EXCESSIVE VALUE",(E583/$BJ$528)*100))</f>
        <v>0</v>
      </c>
      <c r="R583" s="1777"/>
      <c r="S583" s="1777"/>
      <c r="T583" s="1777"/>
      <c r="U583" s="1777"/>
      <c r="V583" s="1778"/>
      <c r="W583" s="1773">
        <f t="shared" ref="W583:W589" si="7">IF(FLOOR(Q583,5)&gt;80,80,FLOOR(Q583,5))</f>
        <v>0</v>
      </c>
      <c r="X583" s="1774"/>
      <c r="Y583" s="1774"/>
      <c r="Z583" s="1774"/>
      <c r="AA583" s="1774"/>
      <c r="AB583" s="1775"/>
      <c r="AC583" s="1773">
        <f t="shared" si="5"/>
        <v>0</v>
      </c>
      <c r="AD583" s="1774"/>
      <c r="AE583" s="1774"/>
      <c r="AF583" s="1774"/>
      <c r="AG583" s="1774"/>
      <c r="AH583" s="1775"/>
      <c r="AN583" s="279"/>
      <c r="AO583" s="4">
        <v>3</v>
      </c>
      <c r="AP583" s="1703">
        <f t="shared" si="4"/>
        <v>0</v>
      </c>
      <c r="AQ583" s="1704"/>
      <c r="AR583" s="1704"/>
      <c r="AS583" s="1704"/>
      <c r="AT583" s="1705"/>
      <c r="AX583" s="1783">
        <f>IF(AP533=1,1,0)</f>
        <v>0</v>
      </c>
      <c r="AY583" s="1784"/>
      <c r="AZ583" s="1735"/>
      <c r="BA583" s="1736"/>
      <c r="BB583" s="1793"/>
      <c r="BC583" s="1794"/>
      <c r="BD583" s="1745">
        <f>IF(AND(T609&gt;0,AP533&gt;0),1,0)</f>
        <v>0</v>
      </c>
      <c r="BE583" s="1747"/>
      <c r="BF583" s="1793"/>
      <c r="BG583" s="1794"/>
      <c r="BH583" s="1745">
        <f>IF(AND(T609&gt;0,AP533&gt;0),1,0)</f>
        <v>0</v>
      </c>
      <c r="BI583" s="1747"/>
      <c r="BJ583" s="1793"/>
      <c r="BK583" s="1794"/>
      <c r="BL583" s="1745">
        <f>IF(AND(T609&gt;0,AP533&gt;0),1,0)</f>
        <v>0</v>
      </c>
      <c r="BM583" s="1747"/>
      <c r="BN583" s="1793"/>
      <c r="BO583" s="1794"/>
      <c r="BP583" s="1745">
        <f>IF(AND(T609&gt;0,AP533&gt;0),1,0)</f>
        <v>0</v>
      </c>
      <c r="BQ583" s="1747"/>
    </row>
    <row r="584" spans="5:96" s="4" customFormat="1" ht="12.75" customHeight="1">
      <c r="E584" s="1700"/>
      <c r="F584" s="1701"/>
      <c r="G584" s="1701"/>
      <c r="H584" s="1701"/>
      <c r="I584" s="1701"/>
      <c r="J584" s="1702"/>
      <c r="K584" s="1703">
        <v>40</v>
      </c>
      <c r="L584" s="1704"/>
      <c r="M584" s="1704"/>
      <c r="N584" s="1704"/>
      <c r="O584" s="1704"/>
      <c r="P584" s="1705"/>
      <c r="Q584" s="1776">
        <f t="shared" si="6"/>
        <v>0</v>
      </c>
      <c r="R584" s="1777"/>
      <c r="S584" s="1777"/>
      <c r="T584" s="1777"/>
      <c r="U584" s="1777"/>
      <c r="V584" s="1778"/>
      <c r="W584" s="1773">
        <f t="shared" si="7"/>
        <v>0</v>
      </c>
      <c r="X584" s="1774"/>
      <c r="Y584" s="1774"/>
      <c r="Z584" s="1774"/>
      <c r="AA584" s="1774"/>
      <c r="AB584" s="1775"/>
      <c r="AC584" s="1773">
        <f t="shared" si="5"/>
        <v>0</v>
      </c>
      <c r="AD584" s="1774"/>
      <c r="AE584" s="1774"/>
      <c r="AF584" s="1774"/>
      <c r="AG584" s="1774"/>
      <c r="AH584" s="1775"/>
      <c r="AN584" s="279"/>
      <c r="AO584" s="4">
        <v>2</v>
      </c>
      <c r="AP584" s="1703">
        <f t="shared" si="4"/>
        <v>0</v>
      </c>
      <c r="AQ584" s="1704"/>
      <c r="AR584" s="1704"/>
      <c r="AS584" s="1704"/>
      <c r="AT584" s="1705"/>
      <c r="AX584" s="1793"/>
      <c r="AY584" s="1794"/>
      <c r="AZ584" s="1735"/>
      <c r="BA584" s="1736"/>
      <c r="BB584" s="1783">
        <f>IF(AP534=1,1,0)</f>
        <v>0</v>
      </c>
      <c r="BC584" s="1784"/>
      <c r="BD584" s="1735"/>
      <c r="BE584" s="1736"/>
      <c r="BF584" s="1793"/>
      <c r="BG584" s="1794"/>
      <c r="BH584" s="1745">
        <f>IF(AND(T610&gt;0,AP534&gt;0),1,0)</f>
        <v>0</v>
      </c>
      <c r="BI584" s="1747"/>
      <c r="BJ584" s="1793"/>
      <c r="BK584" s="1794"/>
      <c r="BL584" s="1745">
        <f>IF(AND(T610&gt;0,AP534&gt;0),1,0)</f>
        <v>0</v>
      </c>
      <c r="BM584" s="1747"/>
      <c r="BN584" s="1793"/>
      <c r="BO584" s="1794"/>
      <c r="BP584" s="1745">
        <f>IF(AND(T610&gt;0,AP534&gt;0),1,0)</f>
        <v>0</v>
      </c>
      <c r="BQ584" s="1747"/>
    </row>
    <row r="585" spans="5:96" s="4" customFormat="1" ht="12.75" customHeight="1">
      <c r="E585" s="1700"/>
      <c r="F585" s="1701"/>
      <c r="G585" s="1701"/>
      <c r="H585" s="1701"/>
      <c r="I585" s="1701"/>
      <c r="J585" s="1702"/>
      <c r="K585" s="1703">
        <v>45</v>
      </c>
      <c r="L585" s="1704"/>
      <c r="M585" s="1704"/>
      <c r="N585" s="1704"/>
      <c r="O585" s="1704"/>
      <c r="P585" s="1705"/>
      <c r="Q585" s="1776">
        <f t="shared" si="6"/>
        <v>0</v>
      </c>
      <c r="R585" s="1777"/>
      <c r="S585" s="1777"/>
      <c r="T585" s="1777"/>
      <c r="U585" s="1777"/>
      <c r="V585" s="1778"/>
      <c r="W585" s="1773">
        <f>IF(FLOOR(Q585,5)&gt;65,65,FLOOR(Q585,5))</f>
        <v>0</v>
      </c>
      <c r="X585" s="1774"/>
      <c r="Y585" s="1774"/>
      <c r="Z585" s="1774"/>
      <c r="AA585" s="1774"/>
      <c r="AB585" s="1775"/>
      <c r="AC585" s="1773">
        <f t="shared" si="5"/>
        <v>0</v>
      </c>
      <c r="AD585" s="1774"/>
      <c r="AE585" s="1774"/>
      <c r="AF585" s="1774"/>
      <c r="AG585" s="1774"/>
      <c r="AH585" s="1775"/>
      <c r="AN585" s="279"/>
      <c r="AO585" s="4">
        <v>1</v>
      </c>
      <c r="AP585" s="1703">
        <f t="shared" si="4"/>
        <v>0</v>
      </c>
      <c r="AQ585" s="1704"/>
      <c r="AR585" s="1704"/>
      <c r="AS585" s="1704"/>
      <c r="AT585" s="1705"/>
      <c r="AX585" s="1793"/>
      <c r="AY585" s="1794"/>
      <c r="AZ585" s="1735"/>
      <c r="BA585" s="1736"/>
      <c r="BB585" s="1793"/>
      <c r="BC585" s="1794"/>
      <c r="BD585" s="1735"/>
      <c r="BE585" s="1736"/>
      <c r="BF585" s="1783">
        <f>IF(AP535=1,1,0)</f>
        <v>0</v>
      </c>
      <c r="BG585" s="1784"/>
      <c r="BH585" s="1735"/>
      <c r="BI585" s="1736"/>
      <c r="BJ585" s="1793"/>
      <c r="BK585" s="1794"/>
      <c r="BL585" s="1745">
        <f>IF(AND(T611&gt;0,AP535&gt;0),1,0)</f>
        <v>1</v>
      </c>
      <c r="BM585" s="1747"/>
      <c r="BN585" s="1793"/>
      <c r="BO585" s="1794"/>
      <c r="BP585" s="1745">
        <f>IF(AND(T611&gt;0,AP535&gt;0),1,0)</f>
        <v>1</v>
      </c>
      <c r="BQ585" s="1747"/>
    </row>
    <row r="586" spans="5:96" s="4" customFormat="1" ht="12.75" customHeight="1">
      <c r="E586" s="1700"/>
      <c r="F586" s="1701"/>
      <c r="G586" s="1701"/>
      <c r="H586" s="1701"/>
      <c r="I586" s="1701"/>
      <c r="J586" s="1702"/>
      <c r="K586" s="1703" t="str">
        <f>IF(OR(Application!D211="Rural",Application!D211="Rural apportionment (Section 514)",Application!D211="Rural apportionment (Section 515)",Application!D211="Rural apportionment (CDBG-DR)",Application!D211="Rural apportionment (HOME)",Application!D211="Rural (Native American apportionment)"),"",50)</f>
        <v/>
      </c>
      <c r="L586" s="1704"/>
      <c r="M586" s="1704"/>
      <c r="N586" s="1704"/>
      <c r="O586" s="1704"/>
      <c r="P586" s="1705"/>
      <c r="Q586" s="1776">
        <f t="shared" si="6"/>
        <v>0</v>
      </c>
      <c r="R586" s="1777"/>
      <c r="S586" s="1777"/>
      <c r="T586" s="1777"/>
      <c r="U586" s="1777"/>
      <c r="V586" s="1778"/>
      <c r="W586" s="1773">
        <f>IF(FLOOR(Q586,5)&gt;40,40,FLOOR(Q586,5))</f>
        <v>0</v>
      </c>
      <c r="X586" s="1774"/>
      <c r="Y586" s="1774"/>
      <c r="Z586" s="1774"/>
      <c r="AA586" s="1774"/>
      <c r="AB586" s="1775"/>
      <c r="AC586" s="1773">
        <f t="shared" si="5"/>
        <v>0</v>
      </c>
      <c r="AD586" s="1774"/>
      <c r="AE586" s="1774"/>
      <c r="AF586" s="1774"/>
      <c r="AG586" s="1774"/>
      <c r="AH586" s="1775"/>
      <c r="AN586" s="279"/>
      <c r="AO586" s="4">
        <v>0</v>
      </c>
      <c r="AP586" s="1703">
        <f t="shared" si="4"/>
        <v>0</v>
      </c>
      <c r="AQ586" s="1704"/>
      <c r="AR586" s="1704"/>
      <c r="AS586" s="1704"/>
      <c r="AT586" s="1705"/>
      <c r="AX586" s="1793"/>
      <c r="AY586" s="1794"/>
      <c r="AZ586" s="1735"/>
      <c r="BA586" s="1736"/>
      <c r="BB586" s="1793"/>
      <c r="BC586" s="1794"/>
      <c r="BD586" s="1735"/>
      <c r="BE586" s="1736"/>
      <c r="BF586" s="1793"/>
      <c r="BG586" s="1794"/>
      <c r="BH586" s="1735"/>
      <c r="BI586" s="1736"/>
      <c r="BJ586" s="1783">
        <f>IF(AP536=1,1,0)</f>
        <v>1</v>
      </c>
      <c r="BK586" s="1784"/>
      <c r="BL586" s="1793"/>
      <c r="BM586" s="1794"/>
      <c r="BN586" s="1793"/>
      <c r="BO586" s="1794"/>
      <c r="BP586" s="1745">
        <f>IF(AND(T612&gt;0,AP536&gt;0),1,0)</f>
        <v>1</v>
      </c>
      <c r="BQ586" s="1747"/>
    </row>
    <row r="587" spans="5:96" s="4" customFormat="1" ht="12.75" customHeight="1">
      <c r="E587" s="1891">
        <f>+Application!G705+Application!G708+Application!G710</f>
        <v>10</v>
      </c>
      <c r="F587" s="1809"/>
      <c r="G587" s="1809"/>
      <c r="H587" s="1809"/>
      <c r="I587" s="1809"/>
      <c r="J587" s="1810"/>
      <c r="K587" s="1887">
        <f>IF(OR(Application!D211="Rural",Application!D211="Rural apportionment (Section 514)",Application!D211="Rural apportionment (Section 515)",Application!D211="Rural apportionment (HOME)",Application!D211="Rural apportionment (CDBG-DR)",Application!D211="Rural (Native American apportionment)"),50,"")</f>
        <v>50</v>
      </c>
      <c r="L587" s="1888"/>
      <c r="M587" s="1889" t="s">
        <v>2286</v>
      </c>
      <c r="N587" s="1889"/>
      <c r="O587" s="1889"/>
      <c r="P587" s="1890"/>
      <c r="Q587" s="1776">
        <f t="shared" si="6"/>
        <v>22.222222222222221</v>
      </c>
      <c r="R587" s="1777"/>
      <c r="S587" s="1777"/>
      <c r="T587" s="1777"/>
      <c r="U587" s="1777"/>
      <c r="V587" s="1778"/>
      <c r="W587" s="1773">
        <f>IF(FLOOR(Q587,5)&gt;50,50,FLOOR(Q587,5))</f>
        <v>20</v>
      </c>
      <c r="X587" s="1774"/>
      <c r="Y587" s="1774"/>
      <c r="Z587" s="1774"/>
      <c r="AA587" s="1774"/>
      <c r="AB587" s="1775"/>
      <c r="AC587" s="1773">
        <f>IFERROR(IF(W587&gt;0,INDEX($AT$507:$BA$521,MATCH(W587,$AS$507:$AS$521,0),MATCH(K587,$AT$506:$BA$506,0)),0),0)</f>
        <v>10</v>
      </c>
      <c r="AD587" s="1774"/>
      <c r="AE587" s="1774"/>
      <c r="AF587" s="1774"/>
      <c r="AG587" s="1774"/>
      <c r="AH587" s="1775"/>
      <c r="AN587" s="279"/>
      <c r="AP587" s="1703"/>
      <c r="AQ587" s="1704"/>
      <c r="AR587" s="1704"/>
      <c r="AS587" s="1704"/>
      <c r="AT587" s="1705"/>
      <c r="AX587" s="1793"/>
      <c r="AY587" s="1794"/>
      <c r="AZ587" s="1735"/>
      <c r="BA587" s="1736"/>
      <c r="BB587" s="1793"/>
      <c r="BC587" s="1794"/>
      <c r="BD587" s="1735"/>
      <c r="BE587" s="1736"/>
      <c r="BF587" s="1793"/>
      <c r="BG587" s="1794"/>
      <c r="BH587" s="1735"/>
      <c r="BI587" s="1736"/>
      <c r="BJ587" s="1793"/>
      <c r="BK587" s="1794"/>
      <c r="BL587" s="1793"/>
      <c r="BM587" s="1794"/>
      <c r="BN587" s="1783">
        <f>IF(AP537=1,1,0)</f>
        <v>0</v>
      </c>
      <c r="BO587" s="1784"/>
      <c r="BP587" s="1735"/>
      <c r="BQ587" s="1736"/>
    </row>
    <row r="588" spans="5:96" s="4" customFormat="1" ht="12.75" customHeight="1">
      <c r="E588" s="1808"/>
      <c r="F588" s="1809"/>
      <c r="G588" s="1809"/>
      <c r="H588" s="1809"/>
      <c r="I588" s="1809"/>
      <c r="J588" s="1810"/>
      <c r="K588" s="1887">
        <f>IF(OR(Application!D211="Rural",Application!D211="Rural apportionment (Section 514)",Application!D211="Rural apportionment (Section 515)",Application!D211="Rural apportionment (HOME)",Application!D211="Rural apportionment (CDBG-DR)",Application!D211="Rural (Native American apportionment)"),55,"")</f>
        <v>55</v>
      </c>
      <c r="L588" s="1888"/>
      <c r="M588" s="1889" t="s">
        <v>2286</v>
      </c>
      <c r="N588" s="1889"/>
      <c r="O588" s="1889"/>
      <c r="P588" s="1890"/>
      <c r="Q588" s="1776">
        <f t="shared" si="6"/>
        <v>0</v>
      </c>
      <c r="R588" s="1777"/>
      <c r="S588" s="1777"/>
      <c r="T588" s="1777"/>
      <c r="U588" s="1777"/>
      <c r="V588" s="1778"/>
      <c r="W588" s="1773">
        <f>IF(FLOOR(Q588,5)&gt;40,40,FLOOR(Q588,5))</f>
        <v>0</v>
      </c>
      <c r="X588" s="1774"/>
      <c r="Y588" s="1774"/>
      <c r="Z588" s="1774"/>
      <c r="AA588" s="1774"/>
      <c r="AB588" s="1775"/>
      <c r="AC588" s="1773">
        <f>IFERROR(IF(W588&gt;0,INDEX($AT$507:$BA$521,MATCH(W588,$AS$507:$AS$521,0),MATCH(K588,$AT$506:$BA$506,0)),0),0)</f>
        <v>0</v>
      </c>
      <c r="AD588" s="1774"/>
      <c r="AE588" s="1774"/>
      <c r="AF588" s="1774"/>
      <c r="AG588" s="1774"/>
      <c r="AH588" s="1775"/>
      <c r="AN588" s="279"/>
      <c r="AX588" s="1783">
        <f>SUM(AX583:AY587)</f>
        <v>0</v>
      </c>
      <c r="AY588" s="1784"/>
      <c r="AZ588" s="1745">
        <f>SUM(AZ584:BA587)</f>
        <v>0</v>
      </c>
      <c r="BA588" s="1747"/>
      <c r="BB588" s="1783">
        <f>SUM(BB584:BC587)</f>
        <v>0</v>
      </c>
      <c r="BC588" s="1784"/>
      <c r="BD588" s="1745">
        <f>SUM(BD583:BE587)</f>
        <v>0</v>
      </c>
      <c r="BE588" s="1747"/>
      <c r="BF588" s="1783">
        <f>SUM(BF585:BG587)</f>
        <v>0</v>
      </c>
      <c r="BG588" s="1784"/>
      <c r="BH588" s="1745">
        <f>SUM(BH583:BI587)</f>
        <v>0</v>
      </c>
      <c r="BI588" s="1747"/>
      <c r="BJ588" s="1783">
        <f>SUM(BJ583:BK587)</f>
        <v>1</v>
      </c>
      <c r="BK588" s="1784"/>
      <c r="BL588" s="1745">
        <f>SUM(BL583:BM587)</f>
        <v>1</v>
      </c>
      <c r="BM588" s="1747"/>
      <c r="BN588" s="1783">
        <f>SUM(BN583:BO587)</f>
        <v>0</v>
      </c>
      <c r="BO588" s="1784"/>
      <c r="BP588" s="1745">
        <f>SUM(BP583:BQ587)</f>
        <v>2</v>
      </c>
      <c r="BQ588" s="1747"/>
    </row>
    <row r="589" spans="5:96" s="4" customFormat="1" ht="12.75" customHeight="1">
      <c r="E589" s="1700"/>
      <c r="F589" s="1701"/>
      <c r="G589" s="1701"/>
      <c r="H589" s="1701"/>
      <c r="I589" s="1701"/>
      <c r="J589" s="1702"/>
      <c r="K589" s="1703" t="s">
        <v>2114</v>
      </c>
      <c r="L589" s="1704"/>
      <c r="M589" s="1704"/>
      <c r="N589" s="1704"/>
      <c r="O589" s="1704"/>
      <c r="P589" s="1705"/>
      <c r="Q589" s="1776">
        <f t="shared" si="6"/>
        <v>0</v>
      </c>
      <c r="R589" s="1777"/>
      <c r="S589" s="1777"/>
      <c r="T589" s="1777"/>
      <c r="U589" s="1777"/>
      <c r="V589" s="1778"/>
      <c r="W589" s="1773">
        <f t="shared" si="7"/>
        <v>0</v>
      </c>
      <c r="X589" s="1774"/>
      <c r="Y589" s="1774"/>
      <c r="Z589" s="1774"/>
      <c r="AA589" s="1774"/>
      <c r="AB589" s="1775"/>
      <c r="AC589" s="1773">
        <v>0</v>
      </c>
      <c r="AD589" s="1774"/>
      <c r="AE589" s="1774"/>
      <c r="AF589" s="1774"/>
      <c r="AG589" s="1774"/>
      <c r="AH589" s="1775"/>
      <c r="AN589" s="279"/>
      <c r="AX589" s="1802">
        <f>IF(AND(AX588=1,AZ588&gt;1),1,0)</f>
        <v>0</v>
      </c>
      <c r="AY589" s="1803"/>
      <c r="AZ589" s="1803"/>
      <c r="BA589" s="1804"/>
      <c r="BB589" s="1802">
        <f>IF(AND(BB588=1,BD588&gt;=1),1,0)</f>
        <v>0</v>
      </c>
      <c r="BC589" s="1803"/>
      <c r="BD589" s="1803"/>
      <c r="BE589" s="1804"/>
      <c r="BF589" s="1802">
        <f>IF(AND(BF588=1,BH588&gt;=1),1,0)</f>
        <v>0</v>
      </c>
      <c r="BG589" s="1803"/>
      <c r="BH589" s="1803"/>
      <c r="BI589" s="1804"/>
      <c r="BJ589" s="1802">
        <f>IF(AND(BJ588=1,BL588&gt;=1),1,0)</f>
        <v>1</v>
      </c>
      <c r="BK589" s="1803"/>
      <c r="BL589" s="1803"/>
      <c r="BM589" s="1804"/>
      <c r="BN589" s="1802">
        <f>IF(AND(BN588=1,BP588&gt;=1),1,0)</f>
        <v>0</v>
      </c>
      <c r="BO589" s="1803"/>
      <c r="BP589" s="1803"/>
      <c r="BQ589" s="1804"/>
    </row>
    <row r="590" spans="5:96" s="4" customFormat="1" ht="12.75" customHeight="1">
      <c r="E590" s="1700"/>
      <c r="F590" s="1701"/>
      <c r="G590" s="1701"/>
      <c r="H590" s="1701"/>
      <c r="I590" s="1701"/>
      <c r="J590" s="1702"/>
      <c r="K590" s="1703" t="s">
        <v>2115</v>
      </c>
      <c r="L590" s="1704"/>
      <c r="M590" s="1704"/>
      <c r="N590" s="1704"/>
      <c r="O590" s="1704"/>
      <c r="P590" s="1705"/>
      <c r="Q590" s="1776">
        <f>IF(ISERROR(IF((((E590/$BJ$528)*100)&gt;100),"EXCESSIVE VALUE",(E590/$BJ$528)*100)),0,IF((((E590/$BJ$528)*100)&gt;100),"EXCESSIVE VALUE",(E590/$BJ$528)*100))</f>
        <v>0</v>
      </c>
      <c r="R590" s="1777"/>
      <c r="S590" s="1777"/>
      <c r="T590" s="1777"/>
      <c r="U590" s="1777"/>
      <c r="V590" s="1778"/>
      <c r="W590" s="1773">
        <f>IF(FLOOR(Q590,5)&gt;80,80,FLOOR(Q590,5))</f>
        <v>0</v>
      </c>
      <c r="X590" s="1774"/>
      <c r="Y590" s="1774"/>
      <c r="Z590" s="1774"/>
      <c r="AA590" s="1774"/>
      <c r="AB590" s="1775"/>
      <c r="AC590" s="1773">
        <v>0</v>
      </c>
      <c r="AD590" s="1774"/>
      <c r="AE590" s="1774"/>
      <c r="AF590" s="1774"/>
      <c r="AG590" s="1774"/>
      <c r="AH590" s="1775"/>
      <c r="AN590" s="279"/>
      <c r="AX590"/>
      <c r="AY590"/>
      <c r="AZ590"/>
      <c r="BA590"/>
      <c r="BB590"/>
      <c r="BC590"/>
      <c r="BD590"/>
      <c r="BE590"/>
      <c r="BF590"/>
      <c r="BG590"/>
      <c r="BH590"/>
      <c r="BI590" s="34" t="s">
        <v>610</v>
      </c>
      <c r="BJ590" s="1802">
        <f>AX589+BB589+BF589+BJ589+BN589</f>
        <v>1</v>
      </c>
      <c r="BK590" s="1803"/>
      <c r="BL590" s="1803"/>
      <c r="BM590" s="1804"/>
      <c r="BN590"/>
      <c r="BO590"/>
      <c r="BP590"/>
      <c r="BQ590"/>
    </row>
    <row r="591" spans="5:96" s="4" customFormat="1" ht="12.75" customHeight="1">
      <c r="E591" s="1700"/>
      <c r="F591" s="1701"/>
      <c r="G591" s="1701"/>
      <c r="H591" s="1701"/>
      <c r="I591" s="1701"/>
      <c r="J591" s="1702"/>
      <c r="K591" s="1703" t="s">
        <v>2116</v>
      </c>
      <c r="L591" s="1704"/>
      <c r="M591" s="1704"/>
      <c r="N591" s="1704"/>
      <c r="O591" s="1704"/>
      <c r="P591" s="1705"/>
      <c r="Q591" s="1776">
        <f>IF(ISERROR(IF((((E591/$BJ$528)*100)&gt;100),"EXCESSIVE VALUE",(E591/$BJ$528)*100)),0,IF((((E591/$BJ$528)*100)&gt;100),"EXCESSIVE VALUE",(E591/$BJ$528)*100))</f>
        <v>0</v>
      </c>
      <c r="R591" s="1777"/>
      <c r="S591" s="1777"/>
      <c r="T591" s="1777"/>
      <c r="U591" s="1777"/>
      <c r="V591" s="1778"/>
      <c r="W591" s="1773">
        <f>IF(FLOOR(Q591,5)&gt;80,80,FLOOR(Q591,5))</f>
        <v>0</v>
      </c>
      <c r="X591" s="1774"/>
      <c r="Y591" s="1774"/>
      <c r="Z591" s="1774"/>
      <c r="AA591" s="1774"/>
      <c r="AB591" s="1775"/>
      <c r="AC591" s="1773">
        <v>0</v>
      </c>
      <c r="AD591" s="1774"/>
      <c r="AE591" s="1774"/>
      <c r="AF591" s="1774"/>
      <c r="AG591" s="1774"/>
      <c r="AH591" s="1775"/>
      <c r="AN591" s="279"/>
      <c r="AX591"/>
      <c r="AY591"/>
      <c r="AZ591"/>
      <c r="BA591"/>
      <c r="BB591"/>
      <c r="BC591"/>
      <c r="BD591"/>
      <c r="BE591"/>
      <c r="BF591"/>
      <c r="BG591"/>
      <c r="BI591"/>
      <c r="BJ591" t="s">
        <v>609</v>
      </c>
      <c r="BK591"/>
      <c r="BL591"/>
      <c r="BM591"/>
      <c r="BN591"/>
      <c r="BO591"/>
      <c r="BP591"/>
      <c r="BQ591"/>
    </row>
    <row r="592" spans="5:96" s="4" customFormat="1" ht="12.75" customHeight="1">
      <c r="E592" s="1805">
        <f>SUM(E581:J591)</f>
        <v>45</v>
      </c>
      <c r="F592" s="1806"/>
      <c r="G592" s="1806"/>
      <c r="H592" s="1806"/>
      <c r="I592" s="1806"/>
      <c r="J592" s="1807"/>
      <c r="K592" s="89"/>
      <c r="L592" s="89"/>
      <c r="M592" s="89"/>
      <c r="N592" s="89"/>
      <c r="O592" s="89"/>
      <c r="P592" s="89"/>
      <c r="Q592" s="89"/>
      <c r="R592" s="89"/>
      <c r="S592" s="89"/>
      <c r="T592" s="89"/>
      <c r="U592" s="93"/>
      <c r="V592" s="93"/>
      <c r="W592" s="93"/>
      <c r="X592" s="93"/>
      <c r="Y592" s="93"/>
      <c r="Z592" s="89"/>
      <c r="AA592" s="93"/>
      <c r="AB592" s="60" t="s">
        <v>605</v>
      </c>
      <c r="AC592" s="1811">
        <f>IF(SUM(AC581:AH591)&gt;0,SUM(AC581:AH591),0)</f>
        <v>60</v>
      </c>
      <c r="AD592" s="1812"/>
      <c r="AE592" s="1812"/>
      <c r="AF592" s="1812"/>
      <c r="AG592" s="1812"/>
      <c r="AH592" s="1813"/>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708" t="s">
        <v>103</v>
      </c>
      <c r="AH596" s="1708"/>
      <c r="AI596" s="1708"/>
      <c r="AJ596" s="1708"/>
      <c r="AK596" s="5"/>
      <c r="AL596" s="5"/>
      <c r="AM596" s="5"/>
      <c r="AN596" s="279"/>
    </row>
    <row r="597" spans="1:64" s="4" customFormat="1" ht="12.75" customHeight="1">
      <c r="B597" s="1688" t="s">
        <v>2104</v>
      </c>
      <c r="C597" s="1688"/>
      <c r="D597" s="1688"/>
      <c r="E597" s="1688"/>
      <c r="F597" s="1688"/>
      <c r="G597" s="1688"/>
      <c r="H597" s="1688"/>
      <c r="I597" s="1688"/>
      <c r="J597" s="1688"/>
      <c r="K597" s="1688"/>
      <c r="L597" s="1688"/>
      <c r="M597" s="1688"/>
      <c r="N597" s="1688"/>
      <c r="O597" s="1688"/>
      <c r="P597" s="1688"/>
      <c r="Q597" s="1688"/>
      <c r="R597" s="1688"/>
      <c r="S597" s="1688"/>
      <c r="T597" s="1688"/>
      <c r="U597" s="1688"/>
      <c r="V597" s="1688"/>
      <c r="W597" s="1688"/>
      <c r="X597" s="1688"/>
      <c r="Y597" s="1688"/>
      <c r="Z597" s="1688"/>
      <c r="AA597" s="1688"/>
      <c r="AB597" s="1688"/>
      <c r="AC597" s="1688"/>
      <c r="AD597" s="1688"/>
      <c r="AE597" s="1688"/>
      <c r="AF597" s="1688"/>
      <c r="AG597" s="1688"/>
      <c r="AH597" s="1688"/>
      <c r="AI597" s="21"/>
      <c r="AJ597" s="21"/>
      <c r="AK597"/>
      <c r="AL597"/>
      <c r="AM597"/>
      <c r="AN597" s="279"/>
    </row>
    <row r="598" spans="1:64" s="4" customFormat="1" ht="12.75" customHeight="1">
      <c r="A598" s="21"/>
      <c r="B598" s="1688"/>
      <c r="C598" s="1688"/>
      <c r="D598" s="1688"/>
      <c r="E598" s="1688"/>
      <c r="F598" s="1688"/>
      <c r="G598" s="1688"/>
      <c r="H598" s="1688"/>
      <c r="I598" s="1688"/>
      <c r="J598" s="1688"/>
      <c r="K598" s="1688"/>
      <c r="L598" s="1688"/>
      <c r="M598" s="1688"/>
      <c r="N598" s="1688"/>
      <c r="O598" s="1688"/>
      <c r="P598" s="1688"/>
      <c r="Q598" s="1688"/>
      <c r="R598" s="1688"/>
      <c r="S598" s="1688"/>
      <c r="T598" s="1688"/>
      <c r="U598" s="1688"/>
      <c r="V598" s="1688"/>
      <c r="W598" s="1688"/>
      <c r="X598" s="1688"/>
      <c r="Y598" s="1688"/>
      <c r="Z598" s="1688"/>
      <c r="AA598" s="1688"/>
      <c r="AB598" s="1688"/>
      <c r="AC598" s="1688"/>
      <c r="AD598" s="1688"/>
      <c r="AE598" s="1688"/>
      <c r="AF598" s="1688"/>
      <c r="AG598" s="1688"/>
      <c r="AH598" s="1688"/>
      <c r="AI598" s="21"/>
      <c r="AJ598" s="21"/>
      <c r="AK598"/>
      <c r="AL598"/>
      <c r="AM598"/>
      <c r="AN598" s="279"/>
    </row>
    <row r="599" spans="1:64" s="4" customFormat="1" ht="12.75" customHeight="1">
      <c r="A599" s="21"/>
      <c r="B599" s="1688"/>
      <c r="C599" s="1688"/>
      <c r="D599" s="1688"/>
      <c r="E599" s="1688"/>
      <c r="F599" s="1688"/>
      <c r="G599" s="1688"/>
      <c r="H599" s="1688"/>
      <c r="I599" s="1688"/>
      <c r="J599" s="1688"/>
      <c r="K599" s="1688"/>
      <c r="L599" s="1688"/>
      <c r="M599" s="1688"/>
      <c r="N599" s="1688"/>
      <c r="O599" s="1688"/>
      <c r="P599" s="1688"/>
      <c r="Q599" s="1688"/>
      <c r="R599" s="1688"/>
      <c r="S599" s="1688"/>
      <c r="T599" s="1688"/>
      <c r="U599" s="1688"/>
      <c r="V599" s="1688"/>
      <c r="W599" s="1688"/>
      <c r="X599" s="1688"/>
      <c r="Y599" s="1688"/>
      <c r="Z599" s="1688"/>
      <c r="AA599" s="1688"/>
      <c r="AB599" s="1688"/>
      <c r="AC599" s="1688"/>
      <c r="AD599" s="1688"/>
      <c r="AE599" s="1688"/>
      <c r="AF599" s="1688"/>
      <c r="AG599" s="1688"/>
      <c r="AH599" s="1688"/>
      <c r="AI599" s="21"/>
      <c r="AJ599" s="21"/>
      <c r="AK599"/>
      <c r="AL599"/>
      <c r="AM599"/>
      <c r="AN599" s="279"/>
    </row>
    <row r="600" spans="1:64" s="4" customFormat="1" ht="12.75" customHeight="1">
      <c r="A600" s="21"/>
      <c r="B600" s="1688"/>
      <c r="C600" s="1688"/>
      <c r="D600" s="1688"/>
      <c r="E600" s="1688"/>
      <c r="F600" s="1688"/>
      <c r="G600" s="1688"/>
      <c r="H600" s="1688"/>
      <c r="I600" s="1688"/>
      <c r="J600" s="1688"/>
      <c r="K600" s="1688"/>
      <c r="L600" s="1688"/>
      <c r="M600" s="1688"/>
      <c r="N600" s="1688"/>
      <c r="O600" s="1688"/>
      <c r="P600" s="1688"/>
      <c r="Q600" s="1688"/>
      <c r="R600" s="1688"/>
      <c r="S600" s="1688"/>
      <c r="T600" s="1688"/>
      <c r="U600" s="1688"/>
      <c r="V600" s="1688"/>
      <c r="W600" s="1688"/>
      <c r="X600" s="1688"/>
      <c r="Y600" s="1688"/>
      <c r="Z600" s="1688"/>
      <c r="AA600" s="1688"/>
      <c r="AB600" s="1688"/>
      <c r="AC600" s="1688"/>
      <c r="AD600" s="1688"/>
      <c r="AE600" s="1688"/>
      <c r="AF600" s="1688"/>
      <c r="AG600" s="1688"/>
      <c r="AH600" s="1688"/>
      <c r="AI600" s="21"/>
      <c r="AJ600" s="21"/>
      <c r="AK600"/>
      <c r="AL600"/>
      <c r="AM600"/>
      <c r="AN600" s="666"/>
    </row>
    <row r="601" spans="1:64">
      <c r="B601" s="1688"/>
      <c r="C601" s="1688"/>
      <c r="D601" s="1688"/>
      <c r="E601" s="1688"/>
      <c r="F601" s="1688"/>
      <c r="G601" s="1688"/>
      <c r="H601" s="1688"/>
      <c r="I601" s="1688"/>
      <c r="J601" s="1688"/>
      <c r="K601" s="1688"/>
      <c r="L601" s="1688"/>
      <c r="M601" s="1688"/>
      <c r="N601" s="1688"/>
      <c r="O601" s="1688"/>
      <c r="P601" s="1688"/>
      <c r="Q601" s="1688"/>
      <c r="R601" s="1688"/>
      <c r="S601" s="1688"/>
      <c r="T601" s="1688"/>
      <c r="U601" s="1688"/>
      <c r="V601" s="1688"/>
      <c r="W601" s="1688"/>
      <c r="X601" s="1688"/>
      <c r="Y601" s="1688"/>
      <c r="Z601" s="1688"/>
      <c r="AA601" s="1688"/>
      <c r="AB601" s="1688"/>
      <c r="AC601" s="1688"/>
      <c r="AD601" s="1688"/>
      <c r="AE601" s="1688"/>
      <c r="AF601" s="1688"/>
      <c r="AG601" s="1688"/>
      <c r="AH601" s="1688"/>
      <c r="AK601"/>
      <c r="AL601"/>
      <c r="AM601"/>
      <c r="BD601" s="21"/>
      <c r="BE601" s="21"/>
      <c r="BF601" s="21"/>
      <c r="BG601" s="21"/>
      <c r="BH601" s="21"/>
    </row>
    <row r="602" spans="1:64" ht="12.75" customHeight="1">
      <c r="B602" s="1688"/>
      <c r="C602" s="1688"/>
      <c r="D602" s="1688"/>
      <c r="E602" s="1688"/>
      <c r="F602" s="1688"/>
      <c r="G602" s="1688"/>
      <c r="H602" s="1688"/>
      <c r="I602" s="1688"/>
      <c r="J602" s="1688"/>
      <c r="K602" s="1688"/>
      <c r="L602" s="1688"/>
      <c r="M602" s="1688"/>
      <c r="N602" s="1688"/>
      <c r="O602" s="1688"/>
      <c r="P602" s="1688"/>
      <c r="Q602" s="1688"/>
      <c r="R602" s="1688"/>
      <c r="S602" s="1688"/>
      <c r="T602" s="1688"/>
      <c r="U602" s="1688"/>
      <c r="V602" s="1688"/>
      <c r="W602" s="1688"/>
      <c r="X602" s="1688"/>
      <c r="Y602" s="1688"/>
      <c r="Z602" s="1688"/>
      <c r="AA602" s="1688"/>
      <c r="AB602" s="1688"/>
      <c r="AC602" s="1688"/>
      <c r="AD602" s="1688"/>
      <c r="AE602" s="1688"/>
      <c r="AF602" s="1688"/>
      <c r="AG602" s="1688"/>
      <c r="AH602" s="1688"/>
    </row>
    <row r="603" spans="1:64" ht="12.75" customHeight="1">
      <c r="E603" s="160"/>
    </row>
    <row r="604" spans="1:64">
      <c r="J604" s="1814" t="s">
        <v>795</v>
      </c>
      <c r="K604" s="1815"/>
      <c r="L604" s="1815"/>
      <c r="M604" s="1815"/>
      <c r="N604" s="1816"/>
      <c r="O604" s="1531" t="s">
        <v>1503</v>
      </c>
      <c r="P604" s="1532"/>
      <c r="Q604" s="1532"/>
      <c r="R604" s="1532"/>
      <c r="S604" s="1533"/>
      <c r="T604" s="1531" t="s">
        <v>1757</v>
      </c>
      <c r="U604" s="1532"/>
      <c r="V604" s="1532"/>
      <c r="W604" s="1532"/>
      <c r="X604" s="1533"/>
      <c r="Y604" s="1531" t="s">
        <v>1504</v>
      </c>
      <c r="Z604" s="1532"/>
      <c r="AA604" s="1532"/>
      <c r="AB604" s="1532"/>
      <c r="AC604" s="1533"/>
      <c r="AF604"/>
      <c r="AG604"/>
      <c r="AH604"/>
      <c r="AI604"/>
      <c r="AJ604"/>
    </row>
    <row r="605" spans="1:64">
      <c r="D605"/>
      <c r="E605"/>
      <c r="F605"/>
      <c r="G605"/>
      <c r="H605"/>
      <c r="I605"/>
      <c r="J605" s="1789"/>
      <c r="K605" s="1790"/>
      <c r="L605" s="1790"/>
      <c r="M605" s="1790"/>
      <c r="N605" s="1817"/>
      <c r="O605" s="1534"/>
      <c r="P605" s="1535"/>
      <c r="Q605" s="1535"/>
      <c r="R605" s="1535"/>
      <c r="S605" s="1536"/>
      <c r="T605" s="1534"/>
      <c r="U605" s="1535"/>
      <c r="V605" s="1535"/>
      <c r="W605" s="1535"/>
      <c r="X605" s="1536"/>
      <c r="Y605" s="1534"/>
      <c r="Z605" s="1535"/>
      <c r="AA605" s="1535"/>
      <c r="AB605" s="1535"/>
      <c r="AC605" s="1536"/>
      <c r="AF605"/>
      <c r="AG605"/>
      <c r="AH605"/>
      <c r="AI605"/>
      <c r="AJ605"/>
      <c r="AO605" s="38" t="s">
        <v>2212</v>
      </c>
      <c r="AR605" s="21" t="b">
        <f>$Y$614&gt;=10%</f>
        <v>1</v>
      </c>
    </row>
    <row r="606" spans="1:64">
      <c r="I606"/>
      <c r="J606" s="1789"/>
      <c r="K606" s="1790"/>
      <c r="L606" s="1790"/>
      <c r="M606" s="1790"/>
      <c r="N606" s="1817"/>
      <c r="O606" s="1534"/>
      <c r="P606" s="1535"/>
      <c r="Q606" s="1535"/>
      <c r="R606" s="1535"/>
      <c r="S606" s="1536"/>
      <c r="T606" s="1534"/>
      <c r="U606" s="1535"/>
      <c r="V606" s="1535"/>
      <c r="W606" s="1535"/>
      <c r="X606" s="1536"/>
      <c r="Y606" s="1534"/>
      <c r="Z606" s="1535"/>
      <c r="AA606" s="1535"/>
      <c r="AB606" s="1535"/>
      <c r="AC606" s="1536"/>
      <c r="AD606"/>
      <c r="AF606"/>
      <c r="AG606"/>
      <c r="AH606"/>
      <c r="AI606"/>
      <c r="AJ606"/>
      <c r="AO606" s="38" t="s">
        <v>2213</v>
      </c>
      <c r="AR606" s="951">
        <f>ROUNDUP(($O$614*10%),0)</f>
        <v>5</v>
      </c>
    </row>
    <row r="607" spans="1:64" ht="19.5" customHeight="1">
      <c r="D607"/>
      <c r="E607"/>
      <c r="F607"/>
      <c r="G607"/>
      <c r="H607"/>
      <c r="I607"/>
      <c r="J607" s="1789"/>
      <c r="K607" s="1790"/>
      <c r="L607" s="1790"/>
      <c r="M607" s="1790"/>
      <c r="N607" s="1817"/>
      <c r="O607" s="1534"/>
      <c r="P607" s="1535"/>
      <c r="Q607" s="1535"/>
      <c r="R607" s="1535"/>
      <c r="S607" s="1536"/>
      <c r="T607" s="1534"/>
      <c r="U607" s="1535"/>
      <c r="V607" s="1535"/>
      <c r="W607" s="1535"/>
      <c r="X607" s="1536"/>
      <c r="Y607" s="1534"/>
      <c r="Z607" s="1535"/>
      <c r="AA607" s="1535"/>
      <c r="AB607" s="1535"/>
      <c r="AC607" s="1536"/>
      <c r="AD607"/>
      <c r="AF607"/>
      <c r="AG607"/>
      <c r="AH607"/>
      <c r="AI607"/>
      <c r="AJ607"/>
      <c r="AO607" s="38" t="s">
        <v>2214</v>
      </c>
      <c r="AR607" s="21" t="s">
        <v>2215</v>
      </c>
    </row>
    <row r="608" spans="1:64">
      <c r="D608"/>
      <c r="E608"/>
      <c r="F608"/>
      <c r="G608"/>
      <c r="H608"/>
      <c r="I608"/>
      <c r="J608" s="1818" t="s">
        <v>225</v>
      </c>
      <c r="K608" s="1819"/>
      <c r="L608" s="1819"/>
      <c r="M608" s="1819"/>
      <c r="N608" s="1820"/>
      <c r="O608" s="1703">
        <f>Application!CM634</f>
        <v>0</v>
      </c>
      <c r="P608" s="1704"/>
      <c r="Q608" s="1704"/>
      <c r="R608" s="1704"/>
      <c r="S608" s="1705"/>
      <c r="T608" s="1703">
        <f>Application!DR635</f>
        <v>0</v>
      </c>
      <c r="U608" s="1704"/>
      <c r="V608" s="1704"/>
      <c r="W608" s="1704"/>
      <c r="X608" s="1705"/>
      <c r="Y608" s="1780">
        <f t="shared" ref="Y608:Y614" si="8">IF(T608&gt;0,T608/O608,0)</f>
        <v>0</v>
      </c>
      <c r="Z608" s="1781"/>
      <c r="AA608" s="1781"/>
      <c r="AB608" s="1781"/>
      <c r="AC608" s="1782"/>
      <c r="AD608"/>
      <c r="AF608"/>
      <c r="AG608"/>
      <c r="AH608"/>
      <c r="AI608"/>
      <c r="AJ608"/>
      <c r="AO608" s="951">
        <f t="shared" ref="AO608:AO613" si="9">ROUNDUP((O608*10%),0)</f>
        <v>0</v>
      </c>
      <c r="AP608" s="204"/>
      <c r="AR608" s="952" t="b">
        <f>OR(SUM($T$608:T608)&gt;=$AR$606,T608&gt;=AO608)</f>
        <v>1</v>
      </c>
    </row>
    <row r="609" spans="1:60">
      <c r="D609"/>
      <c r="E609"/>
      <c r="F609"/>
      <c r="G609"/>
      <c r="H609"/>
      <c r="I609"/>
      <c r="J609" s="1818" t="s">
        <v>31</v>
      </c>
      <c r="K609" s="1819"/>
      <c r="L609" s="1819"/>
      <c r="M609" s="1819"/>
      <c r="N609" s="1820"/>
      <c r="O609" s="1703">
        <f>Application!CH634</f>
        <v>0</v>
      </c>
      <c r="P609" s="1704"/>
      <c r="Q609" s="1704"/>
      <c r="R609" s="1704"/>
      <c r="S609" s="1705"/>
      <c r="T609" s="1703">
        <f>Application!DM635</f>
        <v>0</v>
      </c>
      <c r="U609" s="1704"/>
      <c r="V609" s="1704"/>
      <c r="W609" s="1704"/>
      <c r="X609" s="1705"/>
      <c r="Y609" s="1780">
        <f t="shared" si="8"/>
        <v>0</v>
      </c>
      <c r="Z609" s="1781"/>
      <c r="AA609" s="1781"/>
      <c r="AB609" s="1781"/>
      <c r="AC609" s="1782"/>
      <c r="AD609"/>
      <c r="AF609"/>
      <c r="AG609"/>
      <c r="AH609"/>
      <c r="AI609"/>
      <c r="AJ609"/>
      <c r="AO609" s="951">
        <f t="shared" si="9"/>
        <v>0</v>
      </c>
      <c r="AP609" s="204"/>
      <c r="AR609" s="952" t="b">
        <f>OR(SUM($T$608:T609)&gt;=$AR$606,T609&gt;=AO609)</f>
        <v>1</v>
      </c>
    </row>
    <row r="610" spans="1:60">
      <c r="D610"/>
      <c r="E610"/>
      <c r="F610"/>
      <c r="G610"/>
      <c r="H610"/>
      <c r="I610"/>
      <c r="J610" s="1818" t="s">
        <v>265</v>
      </c>
      <c r="K610" s="1819"/>
      <c r="L610" s="1819"/>
      <c r="M610" s="1819"/>
      <c r="N610" s="1820"/>
      <c r="O610" s="1703">
        <f>Application!CC634</f>
        <v>0</v>
      </c>
      <c r="P610" s="1704"/>
      <c r="Q610" s="1704"/>
      <c r="R610" s="1704"/>
      <c r="S610" s="1705"/>
      <c r="T610" s="1703">
        <f>Application!DH635</f>
        <v>0</v>
      </c>
      <c r="U610" s="1704"/>
      <c r="V610" s="1704"/>
      <c r="W610" s="1704"/>
      <c r="X610" s="1705"/>
      <c r="Y610" s="1780">
        <f t="shared" si="8"/>
        <v>0</v>
      </c>
      <c r="Z610" s="1781"/>
      <c r="AA610" s="1781"/>
      <c r="AB610" s="1781"/>
      <c r="AC610" s="1782"/>
      <c r="AD610"/>
      <c r="AF610"/>
      <c r="AG610"/>
      <c r="AH610"/>
      <c r="AI610"/>
      <c r="AJ610"/>
      <c r="AO610" s="951">
        <f t="shared" si="9"/>
        <v>0</v>
      </c>
      <c r="AP610" s="204"/>
      <c r="AR610" s="952" t="b">
        <f>OR(SUM($T$608:T610)&gt;=$AR$606,T610&gt;=AO610)</f>
        <v>1</v>
      </c>
    </row>
    <row r="611" spans="1:60">
      <c r="D611"/>
      <c r="E611"/>
      <c r="F611"/>
      <c r="G611"/>
      <c r="H611"/>
      <c r="I611"/>
      <c r="J611" s="1818" t="s">
        <v>264</v>
      </c>
      <c r="K611" s="1819"/>
      <c r="L611" s="1819"/>
      <c r="M611" s="1819"/>
      <c r="N611" s="1820"/>
      <c r="O611" s="1703">
        <f>Application!BX634</f>
        <v>2</v>
      </c>
      <c r="P611" s="1704"/>
      <c r="Q611" s="1704"/>
      <c r="R611" s="1704"/>
      <c r="S611" s="1705"/>
      <c r="T611" s="1703">
        <f>Application!DC635</f>
        <v>1</v>
      </c>
      <c r="U611" s="1704"/>
      <c r="V611" s="1704"/>
      <c r="W611" s="1704"/>
      <c r="X611" s="1705"/>
      <c r="Y611" s="1780">
        <f t="shared" si="8"/>
        <v>0.5</v>
      </c>
      <c r="Z611" s="1781"/>
      <c r="AA611" s="1781"/>
      <c r="AB611" s="1781"/>
      <c r="AC611" s="1782"/>
      <c r="AD611"/>
      <c r="AF611"/>
      <c r="AG611"/>
      <c r="AH611"/>
      <c r="AI611"/>
      <c r="AJ611"/>
      <c r="AO611" s="951">
        <f t="shared" si="9"/>
        <v>1</v>
      </c>
      <c r="AP611" s="204"/>
      <c r="AR611" s="952" t="b">
        <f>OR(SUM($T$608:T611)&gt;=$AR$606,T611&gt;=AO611)</f>
        <v>1</v>
      </c>
    </row>
    <row r="612" spans="1:60">
      <c r="D612"/>
      <c r="E612"/>
      <c r="F612"/>
      <c r="G612"/>
      <c r="H612"/>
      <c r="I612"/>
      <c r="J612" s="1818" t="s">
        <v>263</v>
      </c>
      <c r="K612" s="1819"/>
      <c r="L612" s="1819"/>
      <c r="M612" s="1819"/>
      <c r="N612" s="1820"/>
      <c r="O612" s="1703">
        <f>Application!BS634</f>
        <v>25</v>
      </c>
      <c r="P612" s="1704"/>
      <c r="Q612" s="1704"/>
      <c r="R612" s="1704"/>
      <c r="S612" s="1705"/>
      <c r="T612" s="1703">
        <f>Application!CX635</f>
        <v>20</v>
      </c>
      <c r="U612" s="1704"/>
      <c r="V612" s="1704"/>
      <c r="W612" s="1704"/>
      <c r="X612" s="1705"/>
      <c r="Y612" s="1780">
        <f t="shared" si="8"/>
        <v>0.8</v>
      </c>
      <c r="Z612" s="1781"/>
      <c r="AA612" s="1781"/>
      <c r="AB612" s="1781"/>
      <c r="AC612" s="1782"/>
      <c r="AD612"/>
      <c r="AF612"/>
      <c r="AG612"/>
      <c r="AH612"/>
      <c r="AI612"/>
      <c r="AJ612"/>
      <c r="AO612" s="951">
        <f t="shared" si="9"/>
        <v>3</v>
      </c>
      <c r="AP612" s="204"/>
      <c r="AR612" s="952" t="b">
        <f>OR(SUM($T$608:T612)&gt;=$AR$606,T612&gt;=AO612)</f>
        <v>1</v>
      </c>
    </row>
    <row r="613" spans="1:60">
      <c r="D613"/>
      <c r="E613"/>
      <c r="F613"/>
      <c r="G613"/>
      <c r="H613"/>
      <c r="I613"/>
      <c r="J613" s="1818" t="s">
        <v>615</v>
      </c>
      <c r="K613" s="1819"/>
      <c r="L613" s="1819"/>
      <c r="M613" s="1819"/>
      <c r="N613" s="1820"/>
      <c r="O613" s="1703">
        <f>Application!BN634</f>
        <v>18</v>
      </c>
      <c r="P613" s="1704"/>
      <c r="Q613" s="1704"/>
      <c r="R613" s="1704"/>
      <c r="S613" s="1705"/>
      <c r="T613" s="1703">
        <f>Application!CS635</f>
        <v>14</v>
      </c>
      <c r="U613" s="1704"/>
      <c r="V613" s="1704"/>
      <c r="W613" s="1704"/>
      <c r="X613" s="1705"/>
      <c r="Y613" s="1780">
        <f t="shared" si="8"/>
        <v>0.77777777777777779</v>
      </c>
      <c r="Z613" s="1781"/>
      <c r="AA613" s="1781"/>
      <c r="AB613" s="1781"/>
      <c r="AC613" s="1782"/>
      <c r="AD613"/>
      <c r="AF613"/>
      <c r="AG613"/>
      <c r="AH613"/>
      <c r="AI613"/>
      <c r="AJ613"/>
      <c r="AO613" s="951">
        <f t="shared" si="9"/>
        <v>2</v>
      </c>
      <c r="AP613" s="204"/>
      <c r="AR613" s="952" t="b">
        <f>OR(SUM($T$608:T613)&gt;=$AR$606,T613&gt;=AO613)</f>
        <v>1</v>
      </c>
    </row>
    <row r="614" spans="1:60">
      <c r="D614"/>
      <c r="E614"/>
      <c r="F614"/>
      <c r="G614"/>
      <c r="H614"/>
      <c r="I614"/>
      <c r="J614" s="1155" t="s">
        <v>876</v>
      </c>
      <c r="K614" s="1156"/>
      <c r="L614" s="1156"/>
      <c r="M614" s="1156"/>
      <c r="N614" s="1157"/>
      <c r="O614" s="1697">
        <f>SUM(O608:S613)</f>
        <v>45</v>
      </c>
      <c r="P614" s="1698"/>
      <c r="Q614" s="1698"/>
      <c r="R614" s="1698"/>
      <c r="S614" s="1699"/>
      <c r="T614" s="1697">
        <f>SUM(T608:X613)</f>
        <v>35</v>
      </c>
      <c r="U614" s="1698"/>
      <c r="V614" s="1698"/>
      <c r="W614" s="1698"/>
      <c r="X614" s="1699"/>
      <c r="Y614" s="1827">
        <f t="shared" si="8"/>
        <v>0.77777777777777779</v>
      </c>
      <c r="Z614" s="1828"/>
      <c r="AA614" s="1828"/>
      <c r="AB614" s="1828"/>
      <c r="AC614" s="182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208" t="s">
        <v>1507</v>
      </c>
      <c r="B617" s="1209"/>
      <c r="C617" s="1209"/>
      <c r="D617" s="1209"/>
      <c r="E617" s="1209"/>
      <c r="F617" s="1209"/>
      <c r="G617" s="1209"/>
      <c r="H617" s="1209"/>
      <c r="I617" s="1209"/>
      <c r="J617" s="1209"/>
      <c r="K617" s="1209"/>
      <c r="L617" s="1209"/>
      <c r="M617" s="1209"/>
      <c r="N617" s="1209"/>
      <c r="O617" s="1209"/>
      <c r="P617" s="1209"/>
      <c r="Q617" s="1209"/>
      <c r="R617" s="1209"/>
      <c r="S617" s="1209"/>
      <c r="T617" s="1209"/>
      <c r="U617" s="1209"/>
      <c r="V617" s="1209"/>
      <c r="W617" s="1209"/>
      <c r="X617" s="1209"/>
      <c r="Y617" s="1209"/>
      <c r="Z617" s="1209"/>
      <c r="AA617" s="1209"/>
      <c r="AB617" s="1209"/>
      <c r="AC617" s="1209"/>
      <c r="AD617" s="1209"/>
      <c r="AE617" s="1209"/>
      <c r="AF617" s="1209"/>
      <c r="AG617" s="1209"/>
      <c r="AH617" s="1209"/>
      <c r="AI617" s="1210"/>
      <c r="AJ617" s="1837">
        <f>IF(AND(AR605,AR608,AR609,AR610,AR611,AR612,AR613),2,0)</f>
        <v>2</v>
      </c>
      <c r="AK617" s="1838"/>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0" t="s">
        <v>180</v>
      </c>
      <c r="B619" s="1830"/>
      <c r="C619" s="1830"/>
      <c r="D619" s="1830"/>
      <c r="E619" s="1830"/>
      <c r="F619" s="1830"/>
      <c r="G619" s="1830"/>
      <c r="H619" s="1830"/>
      <c r="I619" s="1830"/>
      <c r="J619" s="1830"/>
      <c r="K619" s="1830"/>
      <c r="L619" s="1830"/>
      <c r="M619" s="1830"/>
      <c r="N619" s="1830"/>
      <c r="O619" s="1830"/>
      <c r="P619" s="1830"/>
      <c r="Q619" s="1830"/>
      <c r="R619" s="1830"/>
      <c r="S619" s="1830"/>
      <c r="T619" s="1830"/>
      <c r="U619" s="1830"/>
      <c r="V619" s="1830"/>
      <c r="W619" s="1830"/>
      <c r="X619" s="1830"/>
      <c r="Y619" s="1830"/>
      <c r="Z619" s="1830"/>
      <c r="AA619" s="1830"/>
      <c r="AB619" s="1830"/>
      <c r="AC619" s="1830"/>
      <c r="AD619" s="1830"/>
      <c r="AE619" s="1830"/>
      <c r="AF619" s="1830"/>
      <c r="AG619" s="1830"/>
      <c r="AH619" s="1830"/>
      <c r="AI619" s="1830"/>
      <c r="AJ619" s="1830"/>
      <c r="AK619" s="1285">
        <f>IF($E$592=Application!G738,$AC$592+$AJ$617,0)</f>
        <v>62</v>
      </c>
      <c r="AL619" s="1286"/>
      <c r="AM619" s="128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22" t="s">
        <v>1508</v>
      </c>
      <c r="C623" s="1722"/>
      <c r="D623" s="1722"/>
      <c r="E623" s="1722"/>
      <c r="F623" s="1722"/>
      <c r="G623" s="1722"/>
      <c r="H623" s="1722"/>
      <c r="I623" s="1722"/>
      <c r="J623" s="1722"/>
      <c r="K623" s="1722"/>
      <c r="L623" s="1722"/>
      <c r="M623" s="1722"/>
      <c r="N623" s="1722"/>
      <c r="O623" s="1722"/>
      <c r="P623" s="1722"/>
      <c r="Q623" s="1722"/>
      <c r="R623" s="1722"/>
      <c r="S623" s="1722"/>
      <c r="T623" s="1722"/>
      <c r="U623" s="1722"/>
      <c r="V623" s="1722"/>
      <c r="W623" s="1722"/>
      <c r="X623" s="1722"/>
      <c r="Y623" s="1722"/>
      <c r="Z623" s="1722"/>
      <c r="AA623" s="1722"/>
      <c r="AB623" s="1722"/>
      <c r="AC623" s="1722"/>
      <c r="AD623" s="1722"/>
      <c r="AE623" s="1722"/>
      <c r="AF623" s="1722"/>
      <c r="AG623" s="1722"/>
      <c r="AH623" s="1722"/>
      <c r="AI623" s="1722"/>
      <c r="AJ623" s="1722"/>
      <c r="AK623" s="4"/>
      <c r="AL623" s="4"/>
      <c r="AM623" s="4"/>
    </row>
    <row r="624" spans="1:60">
      <c r="A624" s="4"/>
      <c r="B624" s="1722"/>
      <c r="C624" s="1722"/>
      <c r="D624" s="1722"/>
      <c r="E624" s="1722"/>
      <c r="F624" s="1722"/>
      <c r="G624" s="1722"/>
      <c r="H624" s="1722"/>
      <c r="I624" s="1722"/>
      <c r="J624" s="1722"/>
      <c r="K624" s="1722"/>
      <c r="L624" s="1722"/>
      <c r="M624" s="1722"/>
      <c r="N624" s="1722"/>
      <c r="O624" s="1722"/>
      <c r="P624" s="1722"/>
      <c r="Q624" s="1722"/>
      <c r="R624" s="1722"/>
      <c r="S624" s="1722"/>
      <c r="T624" s="1722"/>
      <c r="U624" s="1722"/>
      <c r="V624" s="1722"/>
      <c r="W624" s="1722"/>
      <c r="X624" s="1722"/>
      <c r="Y624" s="1722"/>
      <c r="Z624" s="1722"/>
      <c r="AA624" s="1722"/>
      <c r="AB624" s="1722"/>
      <c r="AC624" s="1722"/>
      <c r="AD624" s="1722"/>
      <c r="AE624" s="1722"/>
      <c r="AF624" s="1722"/>
      <c r="AG624" s="1722"/>
      <c r="AH624" s="1722"/>
      <c r="AI624" s="1722"/>
      <c r="AJ624" s="1722"/>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084" t="s">
        <v>108</v>
      </c>
      <c r="D627" s="1084"/>
      <c r="E627" s="183"/>
      <c r="F627" s="1909" t="s">
        <v>2205</v>
      </c>
      <c r="G627" s="1910"/>
      <c r="H627" s="1910"/>
      <c r="I627" s="1910"/>
      <c r="J627" s="1910"/>
      <c r="K627" s="1910"/>
      <c r="L627" s="1910"/>
      <c r="M627" s="1910"/>
      <c r="N627" s="1910"/>
      <c r="O627" s="1910"/>
      <c r="P627" s="1910"/>
      <c r="Q627" s="1910"/>
      <c r="R627" s="1910"/>
      <c r="S627" s="1910"/>
      <c r="T627" s="1910"/>
      <c r="U627" s="1910"/>
      <c r="V627" s="1910"/>
      <c r="W627" s="1910"/>
      <c r="X627" s="1910"/>
      <c r="Y627" s="1910"/>
      <c r="Z627" s="1910"/>
      <c r="AA627" s="1910"/>
      <c r="AB627" s="1910"/>
      <c r="AC627" s="1910"/>
      <c r="AD627" s="1910"/>
      <c r="AE627" s="1911"/>
      <c r="AF627" s="173"/>
      <c r="AG627" s="1044" t="s">
        <v>938</v>
      </c>
      <c r="AH627" s="1044"/>
      <c r="AI627" s="1044"/>
      <c r="AJ627" s="1044"/>
      <c r="AK627" s="4"/>
      <c r="AL627" s="4"/>
      <c r="AM627" s="4"/>
      <c r="AO627" s="4"/>
      <c r="AP627" s="35"/>
    </row>
    <row r="628" spans="1:44">
      <c r="A628" s="4"/>
      <c r="B628" s="20"/>
      <c r="C628" s="45"/>
      <c r="D628" s="4"/>
      <c r="E628" s="183"/>
      <c r="F628" s="1912"/>
      <c r="G628" s="1913"/>
      <c r="H628" s="1913"/>
      <c r="I628" s="1913"/>
      <c r="J628" s="1913"/>
      <c r="K628" s="1913"/>
      <c r="L628" s="1913"/>
      <c r="M628" s="1913"/>
      <c r="N628" s="1913"/>
      <c r="O628" s="1913"/>
      <c r="P628" s="1913"/>
      <c r="Q628" s="1913"/>
      <c r="R628" s="1913"/>
      <c r="S628" s="1913"/>
      <c r="T628" s="1913"/>
      <c r="U628" s="1913"/>
      <c r="V628" s="1913"/>
      <c r="W628" s="1913"/>
      <c r="X628" s="1913"/>
      <c r="Y628" s="1913"/>
      <c r="Z628" s="1913"/>
      <c r="AA628" s="1913"/>
      <c r="AB628" s="1913"/>
      <c r="AC628" s="1913"/>
      <c r="AD628" s="1913"/>
      <c r="AE628" s="1914"/>
      <c r="AF628" s="173"/>
      <c r="AG628" s="173"/>
      <c r="AH628" s="173"/>
      <c r="AI628" s="173"/>
      <c r="AJ628" s="4"/>
      <c r="AK628" s="4"/>
      <c r="AL628" s="4"/>
      <c r="AM628" s="4"/>
    </row>
    <row r="629" spans="1:44" ht="13.7" customHeight="1">
      <c r="A629" s="4"/>
      <c r="B629" s="20"/>
      <c r="C629" s="45"/>
      <c r="D629" s="4"/>
      <c r="E629" s="183"/>
      <c r="F629" s="1915"/>
      <c r="G629" s="1916"/>
      <c r="H629" s="1916"/>
      <c r="I629" s="1916"/>
      <c r="J629" s="1916"/>
      <c r="K629" s="1916"/>
      <c r="L629" s="1916"/>
      <c r="M629" s="1916"/>
      <c r="N629" s="1916"/>
      <c r="O629" s="1916"/>
      <c r="P629" s="1916"/>
      <c r="Q629" s="1916"/>
      <c r="R629" s="1916"/>
      <c r="S629" s="1916"/>
      <c r="T629" s="1916"/>
      <c r="U629" s="1916"/>
      <c r="V629" s="1916"/>
      <c r="W629" s="1916"/>
      <c r="X629" s="1916"/>
      <c r="Y629" s="1916"/>
      <c r="Z629" s="1916"/>
      <c r="AA629" s="1916"/>
      <c r="AB629" s="1916"/>
      <c r="AC629" s="1916"/>
      <c r="AD629" s="1916"/>
      <c r="AE629" s="1917"/>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22" t="s">
        <v>2210</v>
      </c>
      <c r="C631" s="1722"/>
      <c r="D631" s="1722"/>
      <c r="E631" s="1722"/>
      <c r="F631" s="1722"/>
      <c r="G631" s="1722"/>
      <c r="H631" s="1722"/>
      <c r="I631" s="1722"/>
      <c r="J631" s="1722"/>
      <c r="K631" s="1722"/>
      <c r="L631" s="1722"/>
      <c r="M631" s="1722"/>
      <c r="N631" s="1722"/>
      <c r="O631" s="1722"/>
      <c r="P631" s="1722"/>
      <c r="Q631" s="1722"/>
      <c r="R631" s="1722"/>
      <c r="S631" s="1722"/>
      <c r="T631" s="1722"/>
      <c r="U631" s="1722"/>
      <c r="V631" s="1722"/>
      <c r="W631" s="1722"/>
      <c r="X631" s="1722"/>
      <c r="Y631" s="1722"/>
      <c r="Z631" s="1722"/>
      <c r="AA631" s="1722"/>
      <c r="AB631" s="1722"/>
      <c r="AC631" s="1722"/>
      <c r="AD631" s="1722"/>
      <c r="AE631" s="1722"/>
      <c r="AF631" s="1722"/>
      <c r="AG631" s="1722"/>
      <c r="AH631" s="1722"/>
      <c r="AI631" s="173"/>
      <c r="AJ631" s="4"/>
      <c r="AK631" s="4"/>
      <c r="AL631" s="4"/>
      <c r="AM631" s="4"/>
      <c r="AN631" s="79"/>
    </row>
    <row r="632" spans="1:44" ht="13.7" customHeight="1">
      <c r="B632" s="1722"/>
      <c r="C632" s="1722"/>
      <c r="D632" s="1722"/>
      <c r="E632" s="1722"/>
      <c r="F632" s="1722"/>
      <c r="G632" s="1722"/>
      <c r="H632" s="1722"/>
      <c r="I632" s="1722"/>
      <c r="J632" s="1722"/>
      <c r="K632" s="1722"/>
      <c r="L632" s="1722"/>
      <c r="M632" s="1722"/>
      <c r="N632" s="1722"/>
      <c r="O632" s="1722"/>
      <c r="P632" s="1722"/>
      <c r="Q632" s="1722"/>
      <c r="R632" s="1722"/>
      <c r="S632" s="1722"/>
      <c r="T632" s="1722"/>
      <c r="U632" s="1722"/>
      <c r="V632" s="1722"/>
      <c r="W632" s="1722"/>
      <c r="X632" s="1722"/>
      <c r="Y632" s="1722"/>
      <c r="Z632" s="1722"/>
      <c r="AA632" s="1722"/>
      <c r="AB632" s="1722"/>
      <c r="AC632" s="1722"/>
      <c r="AD632" s="1722"/>
      <c r="AE632" s="1722"/>
      <c r="AF632" s="1722"/>
      <c r="AG632" s="1722"/>
      <c r="AH632" s="1722"/>
      <c r="AI632" s="160"/>
      <c r="AJ632" s="4"/>
      <c r="AK632" s="4"/>
      <c r="AL632" s="4"/>
      <c r="AM632" s="4"/>
      <c r="AN632" s="79"/>
      <c r="AR632" s="41"/>
    </row>
    <row r="633" spans="1:44" ht="13.7" customHeight="1">
      <c r="A633" s="4"/>
      <c r="B633" s="1722"/>
      <c r="C633" s="1722"/>
      <c r="D633" s="1722"/>
      <c r="E633" s="1722"/>
      <c r="F633" s="1722"/>
      <c r="G633" s="1722"/>
      <c r="H633" s="1722"/>
      <c r="I633" s="1722"/>
      <c r="J633" s="1722"/>
      <c r="K633" s="1722"/>
      <c r="L633" s="1722"/>
      <c r="M633" s="1722"/>
      <c r="N633" s="1722"/>
      <c r="O633" s="1722"/>
      <c r="P633" s="1722"/>
      <c r="Q633" s="1722"/>
      <c r="R633" s="1722"/>
      <c r="S633" s="1722"/>
      <c r="T633" s="1722"/>
      <c r="U633" s="1722"/>
      <c r="V633" s="1722"/>
      <c r="W633" s="1722"/>
      <c r="X633" s="1722"/>
      <c r="Y633" s="1722"/>
      <c r="Z633" s="1722"/>
      <c r="AA633" s="1722"/>
      <c r="AB633" s="1722"/>
      <c r="AC633" s="1722"/>
      <c r="AD633" s="1722"/>
      <c r="AE633" s="1722"/>
      <c r="AF633" s="1722"/>
      <c r="AG633" s="1722"/>
      <c r="AH633" s="1722"/>
      <c r="AI633" s="160"/>
      <c r="AJ633" s="4"/>
      <c r="AK633" s="4"/>
      <c r="AL633" s="4"/>
      <c r="AM633" s="4"/>
      <c r="AN633" s="79"/>
    </row>
    <row r="634" spans="1:44" ht="13.7" customHeight="1">
      <c r="A634" s="4"/>
      <c r="B634" s="1722"/>
      <c r="C634" s="1722"/>
      <c r="D634" s="1722"/>
      <c r="E634" s="1722"/>
      <c r="F634" s="1722"/>
      <c r="G634" s="1722"/>
      <c r="H634" s="1722"/>
      <c r="I634" s="1722"/>
      <c r="J634" s="1722"/>
      <c r="K634" s="1722"/>
      <c r="L634" s="1722"/>
      <c r="M634" s="1722"/>
      <c r="N634" s="1722"/>
      <c r="O634" s="1722"/>
      <c r="P634" s="1722"/>
      <c r="Q634" s="1722"/>
      <c r="R634" s="1722"/>
      <c r="S634" s="1722"/>
      <c r="T634" s="1722"/>
      <c r="U634" s="1722"/>
      <c r="V634" s="1722"/>
      <c r="W634" s="1722"/>
      <c r="X634" s="1722"/>
      <c r="Y634" s="1722"/>
      <c r="Z634" s="1722"/>
      <c r="AA634" s="1722"/>
      <c r="AB634" s="1722"/>
      <c r="AC634" s="1722"/>
      <c r="AD634" s="1722"/>
      <c r="AE634" s="1722"/>
      <c r="AF634" s="1722"/>
      <c r="AG634" s="1722"/>
      <c r="AH634" s="1722"/>
      <c r="AI634" s="160"/>
      <c r="AJ634" s="4"/>
      <c r="AK634" s="4"/>
      <c r="AL634" s="4"/>
      <c r="AM634" s="4"/>
      <c r="AN634" s="79"/>
    </row>
    <row r="635" spans="1:44" ht="13.7" customHeight="1">
      <c r="A635" s="4"/>
      <c r="B635" s="1722"/>
      <c r="C635" s="1722"/>
      <c r="D635" s="1722"/>
      <c r="E635" s="1722"/>
      <c r="F635" s="1722"/>
      <c r="G635" s="1722"/>
      <c r="H635" s="1722"/>
      <c r="I635" s="1722"/>
      <c r="J635" s="1722"/>
      <c r="K635" s="1722"/>
      <c r="L635" s="1722"/>
      <c r="M635" s="1722"/>
      <c r="N635" s="1722"/>
      <c r="O635" s="1722"/>
      <c r="P635" s="1722"/>
      <c r="Q635" s="1722"/>
      <c r="R635" s="1722"/>
      <c r="S635" s="1722"/>
      <c r="T635" s="1722"/>
      <c r="U635" s="1722"/>
      <c r="V635" s="1722"/>
      <c r="W635" s="1722"/>
      <c r="X635" s="1722"/>
      <c r="Y635" s="1722"/>
      <c r="Z635" s="1722"/>
      <c r="AA635" s="1722"/>
      <c r="AB635" s="1722"/>
      <c r="AC635" s="1722"/>
      <c r="AD635" s="1722"/>
      <c r="AE635" s="1722"/>
      <c r="AF635" s="1722"/>
      <c r="AG635" s="1722"/>
      <c r="AH635" s="1722"/>
      <c r="AI635" s="160"/>
      <c r="AJ635" s="4"/>
      <c r="AK635" s="4"/>
      <c r="AL635" s="4"/>
      <c r="AM635" s="4"/>
      <c r="AN635" s="79"/>
    </row>
    <row r="636" spans="1:44" ht="13.7" customHeight="1">
      <c r="A636" s="4"/>
      <c r="B636" s="1722"/>
      <c r="C636" s="1722"/>
      <c r="D636" s="1722"/>
      <c r="E636" s="1722"/>
      <c r="F636" s="1722"/>
      <c r="G636" s="1722"/>
      <c r="H636" s="1722"/>
      <c r="I636" s="1722"/>
      <c r="J636" s="1722"/>
      <c r="K636" s="1722"/>
      <c r="L636" s="1722"/>
      <c r="M636" s="1722"/>
      <c r="N636" s="1722"/>
      <c r="O636" s="1722"/>
      <c r="P636" s="1722"/>
      <c r="Q636" s="1722"/>
      <c r="R636" s="1722"/>
      <c r="S636" s="1722"/>
      <c r="T636" s="1722"/>
      <c r="U636" s="1722"/>
      <c r="V636" s="1722"/>
      <c r="W636" s="1722"/>
      <c r="X636" s="1722"/>
      <c r="Y636" s="1722"/>
      <c r="Z636" s="1722"/>
      <c r="AA636" s="1722"/>
      <c r="AB636" s="1722"/>
      <c r="AC636" s="1722"/>
      <c r="AD636" s="1722"/>
      <c r="AE636" s="1722"/>
      <c r="AF636" s="1722"/>
      <c r="AG636" s="1722"/>
      <c r="AH636" s="1722"/>
      <c r="AI636" s="160"/>
      <c r="AJ636" s="4"/>
      <c r="AK636" s="4"/>
      <c r="AL636" s="4"/>
      <c r="AM636" s="4"/>
      <c r="AN636" s="79"/>
    </row>
    <row r="637" spans="1:44" ht="13.7" customHeight="1">
      <c r="A637" s="4"/>
      <c r="B637" s="1722"/>
      <c r="C637" s="1722"/>
      <c r="D637" s="1722"/>
      <c r="E637" s="1722"/>
      <c r="F637" s="1722"/>
      <c r="G637" s="1722"/>
      <c r="H637" s="1722"/>
      <c r="I637" s="1722"/>
      <c r="J637" s="1722"/>
      <c r="K637" s="1722"/>
      <c r="L637" s="1722"/>
      <c r="M637" s="1722"/>
      <c r="N637" s="1722"/>
      <c r="O637" s="1722"/>
      <c r="P637" s="1722"/>
      <c r="Q637" s="1722"/>
      <c r="R637" s="1722"/>
      <c r="S637" s="1722"/>
      <c r="T637" s="1722"/>
      <c r="U637" s="1722"/>
      <c r="V637" s="1722"/>
      <c r="W637" s="1722"/>
      <c r="X637" s="1722"/>
      <c r="Y637" s="1722"/>
      <c r="Z637" s="1722"/>
      <c r="AA637" s="1722"/>
      <c r="AB637" s="1722"/>
      <c r="AC637" s="1722"/>
      <c r="AD637" s="1722"/>
      <c r="AE637" s="1722"/>
      <c r="AF637" s="1722"/>
      <c r="AG637" s="1722"/>
      <c r="AH637" s="1722"/>
      <c r="AI637" s="160"/>
      <c r="AJ637" s="4"/>
      <c r="AK637" s="4"/>
      <c r="AL637" s="4"/>
      <c r="AM637" s="4"/>
      <c r="AN637" s="79"/>
    </row>
    <row r="638" spans="1:44">
      <c r="A638" s="4"/>
      <c r="B638" s="1722"/>
      <c r="C638" s="1722"/>
      <c r="D638" s="1722"/>
      <c r="E638" s="1722"/>
      <c r="F638" s="1722"/>
      <c r="G638" s="1722"/>
      <c r="H638" s="1722"/>
      <c r="I638" s="1722"/>
      <c r="J638" s="1722"/>
      <c r="K638" s="1722"/>
      <c r="L638" s="1722"/>
      <c r="M638" s="1722"/>
      <c r="N638" s="1722"/>
      <c r="O638" s="1722"/>
      <c r="P638" s="1722"/>
      <c r="Q638" s="1722"/>
      <c r="R638" s="1722"/>
      <c r="S638" s="1722"/>
      <c r="T638" s="1722"/>
      <c r="U638" s="1722"/>
      <c r="V638" s="1722"/>
      <c r="W638" s="1722"/>
      <c r="X638" s="1722"/>
      <c r="Y638" s="1722"/>
      <c r="Z638" s="1722"/>
      <c r="AA638" s="1722"/>
      <c r="AB638" s="1722"/>
      <c r="AC638" s="1722"/>
      <c r="AD638" s="1722"/>
      <c r="AE638" s="1722"/>
      <c r="AF638" s="1722"/>
      <c r="AG638" s="1722"/>
      <c r="AH638" s="1722"/>
      <c r="AI638" s="160"/>
      <c r="AJ638" s="4"/>
      <c r="AK638" s="4"/>
      <c r="AL638" s="4"/>
      <c r="AM638" s="4"/>
      <c r="AN638" s="79"/>
    </row>
    <row r="639" spans="1:44">
      <c r="A639" s="4"/>
      <c r="B639" s="1722"/>
      <c r="C639" s="1722"/>
      <c r="D639" s="1722"/>
      <c r="E639" s="1722"/>
      <c r="F639" s="1722"/>
      <c r="G639" s="1722"/>
      <c r="H639" s="1722"/>
      <c r="I639" s="1722"/>
      <c r="J639" s="1722"/>
      <c r="K639" s="1722"/>
      <c r="L639" s="1722"/>
      <c r="M639" s="1722"/>
      <c r="N639" s="1722"/>
      <c r="O639" s="1722"/>
      <c r="P639" s="1722"/>
      <c r="Q639" s="1722"/>
      <c r="R639" s="1722"/>
      <c r="S639" s="1722"/>
      <c r="T639" s="1722"/>
      <c r="U639" s="1722"/>
      <c r="V639" s="1722"/>
      <c r="W639" s="1722"/>
      <c r="X639" s="1722"/>
      <c r="Y639" s="1722"/>
      <c r="Z639" s="1722"/>
      <c r="AA639" s="1722"/>
      <c r="AB639" s="1722"/>
      <c r="AC639" s="1722"/>
      <c r="AD639" s="1722"/>
      <c r="AE639" s="1722"/>
      <c r="AF639" s="1722"/>
      <c r="AG639" s="1722"/>
      <c r="AH639" s="1722"/>
      <c r="AI639" s="160"/>
      <c r="AJ639" s="4"/>
      <c r="AK639" s="4"/>
      <c r="AL639" s="4"/>
      <c r="AM639" s="4"/>
      <c r="AN639" s="79"/>
    </row>
    <row r="640" spans="1:44">
      <c r="A640" s="4"/>
      <c r="B640" s="1722"/>
      <c r="C640" s="1722"/>
      <c r="D640" s="1722"/>
      <c r="E640" s="1722"/>
      <c r="F640" s="1722"/>
      <c r="G640" s="1722"/>
      <c r="H640" s="1722"/>
      <c r="I640" s="1722"/>
      <c r="J640" s="1722"/>
      <c r="K640" s="1722"/>
      <c r="L640" s="1722"/>
      <c r="M640" s="1722"/>
      <c r="N640" s="1722"/>
      <c r="O640" s="1722"/>
      <c r="P640" s="1722"/>
      <c r="Q640" s="1722"/>
      <c r="R640" s="1722"/>
      <c r="S640" s="1722"/>
      <c r="T640" s="1722"/>
      <c r="U640" s="1722"/>
      <c r="V640" s="1722"/>
      <c r="W640" s="1722"/>
      <c r="X640" s="1722"/>
      <c r="Y640" s="1722"/>
      <c r="Z640" s="1722"/>
      <c r="AA640" s="1722"/>
      <c r="AB640" s="1722"/>
      <c r="AC640" s="1722"/>
      <c r="AD640" s="1722"/>
      <c r="AE640" s="1722"/>
      <c r="AF640" s="1722"/>
      <c r="AG640" s="1722"/>
      <c r="AH640" s="1722"/>
      <c r="AI640" s="160"/>
      <c r="AJ640" s="4"/>
      <c r="AK640" s="4"/>
      <c r="AL640" s="4"/>
      <c r="AM640" s="4"/>
      <c r="AN640" s="79"/>
    </row>
    <row r="641" spans="1:60">
      <c r="A641" s="4"/>
      <c r="B641" s="1722"/>
      <c r="C641" s="1722"/>
      <c r="D641" s="1722"/>
      <c r="E641" s="1722"/>
      <c r="F641" s="1722"/>
      <c r="G641" s="1722"/>
      <c r="H641" s="1722"/>
      <c r="I641" s="1722"/>
      <c r="J641" s="1722"/>
      <c r="K641" s="1722"/>
      <c r="L641" s="1722"/>
      <c r="M641" s="1722"/>
      <c r="N641" s="1722"/>
      <c r="O641" s="1722"/>
      <c r="P641" s="1722"/>
      <c r="Q641" s="1722"/>
      <c r="R641" s="1722"/>
      <c r="S641" s="1722"/>
      <c r="T641" s="1722"/>
      <c r="U641" s="1722"/>
      <c r="V641" s="1722"/>
      <c r="W641" s="1722"/>
      <c r="X641" s="1722"/>
      <c r="Y641" s="1722"/>
      <c r="Z641" s="1722"/>
      <c r="AA641" s="1722"/>
      <c r="AB641" s="1722"/>
      <c r="AC641" s="1722"/>
      <c r="AD641" s="1722"/>
      <c r="AE641" s="1722"/>
      <c r="AF641" s="1722"/>
      <c r="AG641" s="1722"/>
      <c r="AH641" s="1722"/>
      <c r="AI641" s="160"/>
      <c r="AJ641" s="4"/>
      <c r="AK641" s="4"/>
      <c r="AL641" s="4"/>
      <c r="AM641" s="4"/>
      <c r="AN641" s="79"/>
    </row>
    <row r="642" spans="1:60" s="641" customFormat="1" ht="12.4" customHeight="1">
      <c r="A642" s="4"/>
      <c r="B642" s="1722"/>
      <c r="C642" s="1722"/>
      <c r="D642" s="1722"/>
      <c r="E642" s="1722"/>
      <c r="F642" s="1722"/>
      <c r="G642" s="1722"/>
      <c r="H642" s="1722"/>
      <c r="I642" s="1722"/>
      <c r="J642" s="1722"/>
      <c r="K642" s="1722"/>
      <c r="L642" s="1722"/>
      <c r="M642" s="1722"/>
      <c r="N642" s="1722"/>
      <c r="O642" s="1722"/>
      <c r="P642" s="1722"/>
      <c r="Q642" s="1722"/>
      <c r="R642" s="1722"/>
      <c r="S642" s="1722"/>
      <c r="T642" s="1722"/>
      <c r="U642" s="1722"/>
      <c r="V642" s="1722"/>
      <c r="W642" s="1722"/>
      <c r="X642" s="1722"/>
      <c r="Y642" s="1722"/>
      <c r="Z642" s="1722"/>
      <c r="AA642" s="1722"/>
      <c r="AB642" s="1722"/>
      <c r="AC642" s="1722"/>
      <c r="AD642" s="1722"/>
      <c r="AE642" s="1722"/>
      <c r="AF642" s="1722"/>
      <c r="AG642" s="1722"/>
      <c r="AH642" s="1722"/>
      <c r="AI642" s="160"/>
      <c r="AJ642" s="4"/>
      <c r="AK642" s="4"/>
      <c r="AL642" s="4"/>
      <c r="AM642" s="4"/>
      <c r="AN642" s="675"/>
      <c r="BD642" s="643"/>
      <c r="BE642" s="643"/>
      <c r="BF642" s="643"/>
      <c r="BG642" s="643"/>
      <c r="BH642" s="643"/>
    </row>
    <row r="643" spans="1:60">
      <c r="A643" s="4"/>
      <c r="B643" s="1722"/>
      <c r="C643" s="1722"/>
      <c r="D643" s="1722"/>
      <c r="E643" s="1722"/>
      <c r="F643" s="1722"/>
      <c r="G643" s="1722"/>
      <c r="H643" s="1722"/>
      <c r="I643" s="1722"/>
      <c r="J643" s="1722"/>
      <c r="K643" s="1722"/>
      <c r="L643" s="1722"/>
      <c r="M643" s="1722"/>
      <c r="N643" s="1722"/>
      <c r="O643" s="1722"/>
      <c r="P643" s="1722"/>
      <c r="Q643" s="1722"/>
      <c r="R643" s="1722"/>
      <c r="S643" s="1722"/>
      <c r="T643" s="1722"/>
      <c r="U643" s="1722"/>
      <c r="V643" s="1722"/>
      <c r="W643" s="1722"/>
      <c r="X643" s="1722"/>
      <c r="Y643" s="1722"/>
      <c r="Z643" s="1722"/>
      <c r="AA643" s="1722"/>
      <c r="AB643" s="1722"/>
      <c r="AC643" s="1722"/>
      <c r="AD643" s="1722"/>
      <c r="AE643" s="1722"/>
      <c r="AF643" s="1722"/>
      <c r="AG643" s="1722"/>
      <c r="AH643" s="1722"/>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85">
        <f>IF($C$627="yes",10,0)</f>
        <v>10</v>
      </c>
      <c r="AL645" s="1286"/>
      <c r="AM645" s="1287"/>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84" t="s">
        <v>108</v>
      </c>
      <c r="D650" s="1084"/>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084" t="s">
        <v>124</v>
      </c>
      <c r="D655" s="1084"/>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84" t="s">
        <v>124</v>
      </c>
      <c r="D659" s="1084"/>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84" t="s">
        <v>124</v>
      </c>
      <c r="D663" s="1084"/>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84" t="s">
        <v>124</v>
      </c>
      <c r="D665" s="1084"/>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84" t="s">
        <v>124</v>
      </c>
      <c r="D670" s="1084"/>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84" t="s">
        <v>124</v>
      </c>
      <c r="D673" s="1084"/>
      <c r="E673" s="183" t="s">
        <v>281</v>
      </c>
      <c r="F673" s="1722" t="s">
        <v>2197</v>
      </c>
      <c r="G673" s="1722"/>
      <c r="H673" s="1722"/>
      <c r="I673" s="1722"/>
      <c r="J673" s="1722"/>
      <c r="K673" s="1722"/>
      <c r="L673" s="1722"/>
      <c r="M673" s="1722"/>
      <c r="N673" s="1722"/>
      <c r="O673" s="1722"/>
      <c r="P673" s="1722"/>
      <c r="Q673" s="1722"/>
      <c r="R673" s="1722"/>
      <c r="S673" s="1722"/>
      <c r="T673" s="1722"/>
      <c r="U673" s="1722"/>
      <c r="V673" s="1722"/>
      <c r="W673" s="1722"/>
      <c r="X673" s="1722"/>
      <c r="Y673" s="1722"/>
      <c r="Z673" s="1722"/>
      <c r="AA673" s="1722"/>
      <c r="AB673" s="1722"/>
      <c r="AC673" s="1722"/>
      <c r="AD673" s="1722"/>
      <c r="AE673" s="19"/>
      <c r="AF673" s="19"/>
      <c r="AG673" s="3" t="s">
        <v>103</v>
      </c>
      <c r="AH673" s="19"/>
      <c r="AI673" s="19"/>
      <c r="AJ673" s="4"/>
      <c r="AK673" s="4"/>
      <c r="AL673" s="4"/>
      <c r="AM673" s="4"/>
      <c r="AN673" s="79"/>
      <c r="AO673" s="21"/>
    </row>
    <row r="674" spans="1:60">
      <c r="A674" s="4"/>
      <c r="B674" s="19"/>
      <c r="C674" s="19"/>
      <c r="D674" s="19"/>
      <c r="E674" s="19"/>
      <c r="F674" s="1722"/>
      <c r="G674" s="1722"/>
      <c r="H674" s="1722"/>
      <c r="I674" s="1722"/>
      <c r="J674" s="1722"/>
      <c r="K674" s="1722"/>
      <c r="L674" s="1722"/>
      <c r="M674" s="1722"/>
      <c r="N674" s="1722"/>
      <c r="O674" s="1722"/>
      <c r="P674" s="1722"/>
      <c r="Q674" s="1722"/>
      <c r="R674" s="1722"/>
      <c r="S674" s="1722"/>
      <c r="T674" s="1722"/>
      <c r="U674" s="1722"/>
      <c r="V674" s="1722"/>
      <c r="W674" s="1722"/>
      <c r="X674" s="1722"/>
      <c r="Y674" s="1722"/>
      <c r="Z674" s="1722"/>
      <c r="AA674" s="1722"/>
      <c r="AB674" s="1722"/>
      <c r="AC674" s="1722"/>
      <c r="AD674" s="1722"/>
      <c r="AE674" s="19"/>
      <c r="AF674" s="19"/>
      <c r="AG674" s="19"/>
      <c r="AH674" s="19"/>
      <c r="AI674" s="19"/>
      <c r="AJ674" s="4"/>
      <c r="AK674" s="4"/>
      <c r="AL674" s="4"/>
      <c r="AM674" s="4"/>
      <c r="AN674" s="79"/>
      <c r="AO674" s="21"/>
    </row>
    <row r="675" spans="1:60" ht="0.75" customHeight="1">
      <c r="A675" s="4"/>
      <c r="B675" s="19"/>
      <c r="C675" s="19"/>
      <c r="D675" s="19"/>
      <c r="E675" s="19"/>
      <c r="F675" s="1722"/>
      <c r="G675" s="1722"/>
      <c r="H675" s="1722"/>
      <c r="I675" s="1722"/>
      <c r="J675" s="1722"/>
      <c r="K675" s="1722"/>
      <c r="L675" s="1722"/>
      <c r="M675" s="1722"/>
      <c r="N675" s="1722"/>
      <c r="O675" s="1722"/>
      <c r="P675" s="1722"/>
      <c r="Q675" s="1722"/>
      <c r="R675" s="1722"/>
      <c r="S675" s="1722"/>
      <c r="T675" s="1722"/>
      <c r="U675" s="1722"/>
      <c r="V675" s="1722"/>
      <c r="W675" s="1722"/>
      <c r="X675" s="1722"/>
      <c r="Y675" s="1722"/>
      <c r="Z675" s="1722"/>
      <c r="AA675" s="1722"/>
      <c r="AB675" s="1722"/>
      <c r="AC675" s="1722"/>
      <c r="AD675" s="172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85">
        <f>$AO$655</f>
        <v>2</v>
      </c>
      <c r="AL688" s="1286"/>
      <c r="AM688" s="128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95" t="s">
        <v>722</v>
      </c>
      <c r="B691" s="1895"/>
      <c r="C691" s="1895"/>
      <c r="D691" s="1895"/>
      <c r="E691" s="1895"/>
      <c r="F691" s="1895"/>
      <c r="G691" s="1895"/>
      <c r="H691" s="1895"/>
      <c r="I691" s="1895"/>
      <c r="J691" s="1895"/>
      <c r="K691" s="1895"/>
      <c r="L691" s="1895"/>
      <c r="M691" s="1895"/>
      <c r="N691" s="1895"/>
      <c r="O691" s="1895"/>
      <c r="P691" s="1895"/>
      <c r="Q691" s="1895"/>
      <c r="R691" s="1895"/>
      <c r="S691" s="1895"/>
      <c r="T691" s="1895"/>
      <c r="U691" s="1895"/>
      <c r="V691" s="1895"/>
      <c r="W691" s="1895"/>
      <c r="X691" s="1895"/>
      <c r="Y691" s="1895"/>
      <c r="Z691" s="1895"/>
      <c r="AA691" s="1895"/>
      <c r="AB691" s="1895"/>
      <c r="AC691" s="1895"/>
      <c r="AD691" s="1895"/>
      <c r="AE691" s="1895"/>
      <c r="AF691" s="1895"/>
      <c r="AG691" s="1895"/>
      <c r="AH691" s="1895"/>
      <c r="AI691" s="1895"/>
      <c r="AJ691" s="1895"/>
      <c r="AK691" s="1895"/>
      <c r="AL691" s="1895"/>
      <c r="AM691" s="1895"/>
      <c r="AO691" s="204"/>
      <c r="AP691" s="204"/>
      <c r="AQ691" s="204"/>
    </row>
    <row r="692" spans="1:43">
      <c r="A692" s="1896"/>
      <c r="B692" s="1896"/>
      <c r="C692" s="1896"/>
      <c r="D692" s="1896"/>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1896"/>
      <c r="AD692" s="1896"/>
      <c r="AE692" s="1896"/>
      <c r="AF692" s="1896"/>
      <c r="AG692" s="1896"/>
      <c r="AH692" s="1896"/>
      <c r="AI692" s="1896"/>
      <c r="AJ692" s="1896"/>
      <c r="AK692" s="1896"/>
      <c r="AL692" s="1896"/>
      <c r="AM692" s="1896"/>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89" t="s">
        <v>1930</v>
      </c>
      <c r="B694" s="1189"/>
      <c r="C694" s="1189"/>
      <c r="D694" s="1189"/>
      <c r="E694" s="1189"/>
      <c r="F694" s="1189"/>
      <c r="G694" s="1189"/>
      <c r="H694" s="1189"/>
      <c r="I694" s="1189"/>
      <c r="J694" s="1189"/>
      <c r="K694" s="1189"/>
      <c r="L694" s="1189"/>
      <c r="M694" s="1189"/>
      <c r="N694" s="1189"/>
      <c r="O694" s="1189"/>
      <c r="P694" s="1189"/>
      <c r="Q694" s="1189"/>
      <c r="R694" s="1189"/>
      <c r="S694" s="1189"/>
      <c r="T694" s="1189"/>
      <c r="U694" s="1189"/>
      <c r="V694" s="1189"/>
      <c r="W694" s="1189"/>
      <c r="X694" s="1189"/>
      <c r="Y694" s="1189"/>
      <c r="Z694" s="1189"/>
      <c r="AA694" s="1189"/>
      <c r="AB694" s="1189"/>
      <c r="AC694" s="1189"/>
      <c r="AD694" s="1189"/>
      <c r="AE694" s="1189"/>
      <c r="AF694" s="1189"/>
      <c r="AG694" s="1189"/>
      <c r="AH694" s="1189"/>
      <c r="AI694" s="1189"/>
      <c r="AJ694" s="1189"/>
      <c r="AK694" s="1189"/>
      <c r="AL694" s="1189"/>
      <c r="AM694" s="1189"/>
      <c r="AO694" s="204">
        <f>IF(T703&gt;15,15,T703)</f>
        <v>15</v>
      </c>
      <c r="AP694" s="204"/>
      <c r="AQ694" s="204"/>
    </row>
    <row r="695" spans="1:43">
      <c r="A695" s="1189" t="s">
        <v>1931</v>
      </c>
      <c r="B695" s="1189"/>
      <c r="C695" s="1189"/>
      <c r="D695" s="1189"/>
      <c r="E695" s="1189"/>
      <c r="F695" s="1189"/>
      <c r="G695" s="1189"/>
      <c r="H695" s="1189"/>
      <c r="I695" s="1189"/>
      <c r="J695" s="1189"/>
      <c r="K695" s="1189"/>
      <c r="L695" s="1189"/>
      <c r="M695" s="1189"/>
      <c r="N695" s="1189"/>
      <c r="O695" s="1189"/>
      <c r="P695" s="1189"/>
      <c r="Q695" s="1189"/>
      <c r="R695" s="1189"/>
      <c r="S695" s="1189"/>
      <c r="T695" s="1189"/>
      <c r="U695" s="1189"/>
      <c r="V695" s="1189"/>
      <c r="W695" s="1189"/>
      <c r="X695" s="1189"/>
      <c r="Y695" s="1189"/>
      <c r="Z695" s="1189"/>
      <c r="AA695" s="1189"/>
      <c r="AB695" s="1189"/>
      <c r="AC695" s="1189"/>
      <c r="AD695" s="1189"/>
      <c r="AE695" s="1189"/>
      <c r="AF695" s="1189"/>
      <c r="AG695" s="1189"/>
      <c r="AH695" s="1189"/>
      <c r="AI695" s="1189"/>
      <c r="AJ695" s="1189"/>
      <c r="AK695" s="1189"/>
      <c r="AL695" s="1189"/>
      <c r="AM695" s="118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78" t="s">
        <v>234</v>
      </c>
      <c r="U696" s="1573"/>
      <c r="V696" s="1573"/>
      <c r="W696" s="1573"/>
      <c r="X696" s="1573"/>
      <c r="Y696" s="1574"/>
      <c r="Z696" s="1578" t="s">
        <v>233</v>
      </c>
      <c r="AA696" s="1573"/>
      <c r="AB696" s="1573"/>
      <c r="AC696" s="1573"/>
      <c r="AD696" s="1573"/>
      <c r="AE696" s="1574"/>
      <c r="AF696" s="1578" t="s">
        <v>235</v>
      </c>
      <c r="AG696" s="1573"/>
      <c r="AH696" s="1573"/>
      <c r="AI696" s="1573"/>
      <c r="AJ696" s="1573"/>
      <c r="AK696" s="1574"/>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66"/>
      <c r="U697" s="1567"/>
      <c r="V697" s="1567"/>
      <c r="W697" s="1567"/>
      <c r="X697" s="1567"/>
      <c r="Y697" s="1568"/>
      <c r="Z697" s="1566"/>
      <c r="AA697" s="1567"/>
      <c r="AB697" s="1567"/>
      <c r="AC697" s="1567"/>
      <c r="AD697" s="1567"/>
      <c r="AE697" s="1568"/>
      <c r="AF697" s="1566"/>
      <c r="AG697" s="1567"/>
      <c r="AH697" s="1567"/>
      <c r="AI697" s="1567"/>
      <c r="AJ697" s="1567"/>
      <c r="AK697" s="1568"/>
      <c r="AL697" s="775"/>
      <c r="AM697" s="20"/>
    </row>
    <row r="698" spans="1:43">
      <c r="A698" s="591" t="s">
        <v>653</v>
      </c>
      <c r="B698" s="1672" t="s">
        <v>270</v>
      </c>
      <c r="C698" s="1672"/>
      <c r="D698" s="1672"/>
      <c r="E698" s="1672"/>
      <c r="F698" s="1672"/>
      <c r="G698" s="1672"/>
      <c r="H698" s="1672"/>
      <c r="I698" s="1672"/>
      <c r="J698" s="1672"/>
      <c r="K698" s="1672"/>
      <c r="L698" s="1672"/>
      <c r="M698" s="1672"/>
      <c r="N698" s="1672"/>
      <c r="O698" s="1672"/>
      <c r="P698" s="1672"/>
      <c r="Q698" s="1672"/>
      <c r="R698" s="1672"/>
      <c r="S698" s="1673"/>
      <c r="T698" s="1671">
        <f>SUM(T699:Y700)</f>
        <v>10</v>
      </c>
      <c r="U698" s="1671"/>
      <c r="V698" s="1671"/>
      <c r="W698" s="1671"/>
      <c r="X698" s="1671"/>
      <c r="Y698" s="1671"/>
      <c r="Z698" s="1526">
        <v>10</v>
      </c>
      <c r="AA698" s="1526"/>
      <c r="AB698" s="1526"/>
      <c r="AC698" s="1526"/>
      <c r="AD698" s="1526"/>
      <c r="AE698" s="1526"/>
      <c r="AF698" s="1526">
        <f>IF(T698&gt;Z698,Z698,T698)</f>
        <v>10</v>
      </c>
      <c r="AG698" s="1526"/>
      <c r="AH698" s="1526"/>
      <c r="AI698" s="1526"/>
      <c r="AJ698" s="1526"/>
      <c r="AK698" s="1526"/>
      <c r="AL698" s="775"/>
      <c r="AM698" s="20"/>
      <c r="AO698" s="4">
        <f>IF(T707&gt;50,50,T707)</f>
        <v>50</v>
      </c>
    </row>
    <row r="699" spans="1:43">
      <c r="A699" s="611"/>
      <c r="B699" s="612"/>
      <c r="C699" s="617"/>
      <c r="D699" s="304" t="s">
        <v>210</v>
      </c>
      <c r="E699" s="1675" t="s">
        <v>236</v>
      </c>
      <c r="F699" s="1675"/>
      <c r="G699" s="1675"/>
      <c r="H699" s="1675"/>
      <c r="I699" s="1675"/>
      <c r="J699" s="1675"/>
      <c r="K699" s="1675"/>
      <c r="L699" s="1675"/>
      <c r="M699" s="1675"/>
      <c r="N699" s="1675"/>
      <c r="O699" s="1675"/>
      <c r="P699" s="1675"/>
      <c r="Q699" s="1675"/>
      <c r="R699" s="1675"/>
      <c r="S699" s="1676"/>
      <c r="T699" s="1674">
        <f>AJ31</f>
        <v>7</v>
      </c>
      <c r="U699" s="1674"/>
      <c r="V699" s="1674"/>
      <c r="W699" s="1674"/>
      <c r="X699" s="1674"/>
      <c r="Y699" s="1674"/>
      <c r="Z699" s="1677">
        <v>7</v>
      </c>
      <c r="AA699" s="1677"/>
      <c r="AB699" s="1677"/>
      <c r="AC699" s="1677"/>
      <c r="AD699" s="1677"/>
      <c r="AE699" s="1677"/>
      <c r="AF699" s="1839"/>
      <c r="AG699" s="1839"/>
      <c r="AH699" s="1839"/>
      <c r="AI699" s="1839"/>
      <c r="AJ699" s="1839"/>
      <c r="AK699" s="1839"/>
      <c r="AL699" s="775"/>
      <c r="AM699" s="20"/>
    </row>
    <row r="700" spans="1:43">
      <c r="A700" s="613"/>
      <c r="B700" s="612"/>
      <c r="C700" s="612"/>
      <c r="D700" s="304" t="s">
        <v>428</v>
      </c>
      <c r="E700" s="1675" t="s">
        <v>237</v>
      </c>
      <c r="F700" s="1675"/>
      <c r="G700" s="1675"/>
      <c r="H700" s="1675"/>
      <c r="I700" s="1675"/>
      <c r="J700" s="1675"/>
      <c r="K700" s="1675"/>
      <c r="L700" s="1675"/>
      <c r="M700" s="1675"/>
      <c r="N700" s="1675"/>
      <c r="O700" s="1675"/>
      <c r="P700" s="1675"/>
      <c r="Q700" s="1675"/>
      <c r="R700" s="1675"/>
      <c r="S700" s="1676"/>
      <c r="T700" s="1674">
        <f>AJ47</f>
        <v>3</v>
      </c>
      <c r="U700" s="1674"/>
      <c r="V700" s="1674"/>
      <c r="W700" s="1674"/>
      <c r="X700" s="1674"/>
      <c r="Y700" s="1674"/>
      <c r="Z700" s="1677">
        <v>3</v>
      </c>
      <c r="AA700" s="1677"/>
      <c r="AB700" s="1677"/>
      <c r="AC700" s="1677"/>
      <c r="AD700" s="1677"/>
      <c r="AE700" s="1677"/>
      <c r="AF700" s="1839"/>
      <c r="AG700" s="1839"/>
      <c r="AH700" s="1839"/>
      <c r="AI700" s="1839"/>
      <c r="AJ700" s="1839"/>
      <c r="AK700" s="1839"/>
      <c r="AL700" s="775"/>
      <c r="AM700" s="20"/>
    </row>
    <row r="701" spans="1:43">
      <c r="A701" s="591" t="s">
        <v>8</v>
      </c>
      <c r="B701" s="1672" t="s">
        <v>271</v>
      </c>
      <c r="C701" s="1672"/>
      <c r="D701" s="1672"/>
      <c r="E701" s="1672"/>
      <c r="F701" s="1672"/>
      <c r="G701" s="1672"/>
      <c r="H701" s="1672"/>
      <c r="I701" s="1672"/>
      <c r="J701" s="1672"/>
      <c r="K701" s="1672"/>
      <c r="L701" s="1672"/>
      <c r="M701" s="1672"/>
      <c r="N701" s="1672"/>
      <c r="O701" s="1672"/>
      <c r="P701" s="1672"/>
      <c r="Q701" s="1672"/>
      <c r="R701" s="1672"/>
      <c r="S701" s="1673"/>
      <c r="T701" s="1671">
        <f>AK68</f>
        <v>10</v>
      </c>
      <c r="U701" s="1671"/>
      <c r="V701" s="1671"/>
      <c r="W701" s="1671"/>
      <c r="X701" s="1671"/>
      <c r="Y701" s="1671"/>
      <c r="Z701" s="1526">
        <v>10</v>
      </c>
      <c r="AA701" s="1526"/>
      <c r="AB701" s="1526"/>
      <c r="AC701" s="1526"/>
      <c r="AD701" s="1526"/>
      <c r="AE701" s="1526"/>
      <c r="AF701" s="1526">
        <f>IF(T701&gt;Z701,Z701,T701)</f>
        <v>10</v>
      </c>
      <c r="AG701" s="1526"/>
      <c r="AH701" s="1526"/>
      <c r="AI701" s="1526"/>
      <c r="AJ701" s="1526"/>
      <c r="AK701" s="1526"/>
      <c r="AL701" s="775"/>
      <c r="AM701" s="20"/>
    </row>
    <row r="702" spans="1:43">
      <c r="A702" s="591" t="s">
        <v>119</v>
      </c>
      <c r="B702" s="1672" t="s">
        <v>272</v>
      </c>
      <c r="C702" s="1672"/>
      <c r="D702" s="1672"/>
      <c r="E702" s="1672"/>
      <c r="F702" s="1672"/>
      <c r="G702" s="1672"/>
      <c r="H702" s="1672"/>
      <c r="I702" s="1672"/>
      <c r="J702" s="1672"/>
      <c r="K702" s="1672"/>
      <c r="L702" s="1672"/>
      <c r="M702" s="1672"/>
      <c r="N702" s="1672"/>
      <c r="O702" s="1672"/>
      <c r="P702" s="1672"/>
      <c r="Q702" s="1672"/>
      <c r="R702" s="1672"/>
      <c r="S702" s="1673"/>
      <c r="T702" s="1671">
        <f>AO693</f>
        <v>25</v>
      </c>
      <c r="U702" s="1671">
        <f>IF(AND(AND(A703&gt;15,15+A704),A704&gt;10,A703+10),A702,0)</f>
        <v>0</v>
      </c>
      <c r="V702" s="1671">
        <f>IF(AND(AND(B703&gt;15,15+B704),B704&gt;10,B703+10),#REF!,0)</f>
        <v>0</v>
      </c>
      <c r="W702" s="1671">
        <f>IF(AND(AND(C703&gt;15,15+C704),C704&gt;10,C703+10),B702,0)</f>
        <v>0</v>
      </c>
      <c r="X702" s="1671" t="e">
        <f>IF(AND(AND(D703&gt;15,15+D704),D704&gt;10,D703+10),D702,0)</f>
        <v>#VALUE!</v>
      </c>
      <c r="Y702" s="1671" t="e">
        <f>IF(AND(AND(E703&gt;15,15+E704),E704&gt;10,E703+10),E702,0)</f>
        <v>#VALUE!</v>
      </c>
      <c r="Z702" s="1526">
        <v>25</v>
      </c>
      <c r="AA702" s="1526"/>
      <c r="AB702" s="1526"/>
      <c r="AC702" s="1526"/>
      <c r="AD702" s="1526"/>
      <c r="AE702" s="1526"/>
      <c r="AF702" s="1526">
        <f>IF(T702&gt;Z702,Z702,T702)</f>
        <v>25</v>
      </c>
      <c r="AG702" s="1526"/>
      <c r="AH702" s="1526"/>
      <c r="AI702" s="1526"/>
      <c r="AJ702" s="1526"/>
      <c r="AK702" s="1526"/>
      <c r="AL702" s="775"/>
      <c r="AM702" s="20"/>
    </row>
    <row r="703" spans="1:43">
      <c r="A703" s="591"/>
      <c r="B703" s="612"/>
      <c r="C703" s="612"/>
      <c r="D703" s="304" t="s">
        <v>1466</v>
      </c>
      <c r="E703" s="1675" t="s">
        <v>294</v>
      </c>
      <c r="F703" s="1675"/>
      <c r="G703" s="1675"/>
      <c r="H703" s="1675"/>
      <c r="I703" s="1675"/>
      <c r="J703" s="1675"/>
      <c r="K703" s="1675"/>
      <c r="L703" s="1675"/>
      <c r="M703" s="1675"/>
      <c r="N703" s="1675"/>
      <c r="O703" s="1675"/>
      <c r="P703" s="1675"/>
      <c r="Q703" s="1675"/>
      <c r="R703" s="1675"/>
      <c r="S703" s="1676"/>
      <c r="T703" s="1674">
        <f>AK283</f>
        <v>25</v>
      </c>
      <c r="U703" s="1674"/>
      <c r="V703" s="1674"/>
      <c r="W703" s="1674"/>
      <c r="X703" s="1674"/>
      <c r="Y703" s="1674"/>
      <c r="Z703" s="1677">
        <v>15</v>
      </c>
      <c r="AA703" s="1677"/>
      <c r="AB703" s="1677"/>
      <c r="AC703" s="1677"/>
      <c r="AD703" s="1677"/>
      <c r="AE703" s="1677"/>
      <c r="AF703" s="1839"/>
      <c r="AG703" s="1839"/>
      <c r="AH703" s="1839"/>
      <c r="AI703" s="1839"/>
      <c r="AJ703" s="1839"/>
      <c r="AK703" s="1839"/>
      <c r="AL703" s="775"/>
      <c r="AM703" s="20"/>
    </row>
    <row r="704" spans="1:43">
      <c r="A704" s="614"/>
      <c r="B704" s="90"/>
      <c r="C704" s="90"/>
      <c r="D704" s="615" t="s">
        <v>1467</v>
      </c>
      <c r="E704" s="1675" t="s">
        <v>295</v>
      </c>
      <c r="F704" s="1675"/>
      <c r="G704" s="1675"/>
      <c r="H704" s="1675"/>
      <c r="I704" s="1675"/>
      <c r="J704" s="1675"/>
      <c r="K704" s="1675"/>
      <c r="L704" s="1675"/>
      <c r="M704" s="1675"/>
      <c r="N704" s="1675"/>
      <c r="O704" s="1675"/>
      <c r="P704" s="1675"/>
      <c r="Q704" s="1675"/>
      <c r="R704" s="1675"/>
      <c r="S704" s="1676"/>
      <c r="T704" s="1674">
        <f>AK474</f>
        <v>10</v>
      </c>
      <c r="U704" s="1674"/>
      <c r="V704" s="1674"/>
      <c r="W704" s="1674"/>
      <c r="X704" s="1674"/>
      <c r="Y704" s="1674"/>
      <c r="Z704" s="1677">
        <v>10</v>
      </c>
      <c r="AA704" s="1677"/>
      <c r="AB704" s="1677"/>
      <c r="AC704" s="1677"/>
      <c r="AD704" s="1677"/>
      <c r="AE704" s="1677"/>
      <c r="AF704" s="1839"/>
      <c r="AG704" s="1839"/>
      <c r="AH704" s="1839"/>
      <c r="AI704" s="1839"/>
      <c r="AJ704" s="1839"/>
      <c r="AK704" s="1839"/>
      <c r="AL704" s="775"/>
      <c r="AM704" s="20"/>
    </row>
    <row r="705" spans="1:39" hidden="1">
      <c r="A705" s="591" t="s">
        <v>122</v>
      </c>
      <c r="B705" s="1672" t="s">
        <v>540</v>
      </c>
      <c r="C705" s="1672"/>
      <c r="D705" s="1672"/>
      <c r="E705" s="1672"/>
      <c r="F705" s="1672"/>
      <c r="G705" s="1672"/>
      <c r="H705" s="1672"/>
      <c r="I705" s="1672"/>
      <c r="J705" s="1672"/>
      <c r="K705" s="1672"/>
      <c r="L705" s="1672"/>
      <c r="M705" s="1672"/>
      <c r="N705" s="1672"/>
      <c r="O705" s="1672"/>
      <c r="P705" s="1672"/>
      <c r="Q705" s="1672"/>
      <c r="R705" s="1672"/>
      <c r="S705" s="1673"/>
      <c r="T705" s="1671"/>
      <c r="U705" s="1671"/>
      <c r="V705" s="1671"/>
      <c r="W705" s="1671"/>
      <c r="X705" s="1671"/>
      <c r="Y705" s="1671"/>
      <c r="Z705" s="1526"/>
      <c r="AA705" s="1526"/>
      <c r="AB705" s="1526"/>
      <c r="AC705" s="1526"/>
      <c r="AD705" s="1526"/>
      <c r="AE705" s="1526"/>
      <c r="AF705" s="1526"/>
      <c r="AG705" s="1526"/>
      <c r="AH705" s="1526"/>
      <c r="AI705" s="1526"/>
      <c r="AJ705" s="1526"/>
      <c r="AK705" s="1526"/>
      <c r="AL705" s="775"/>
      <c r="AM705" s="20"/>
    </row>
    <row r="706" spans="1:39">
      <c r="A706" s="591" t="s">
        <v>122</v>
      </c>
      <c r="B706" s="1672" t="s">
        <v>541</v>
      </c>
      <c r="C706" s="1672"/>
      <c r="D706" s="1672"/>
      <c r="E706" s="1672"/>
      <c r="F706" s="1672"/>
      <c r="G706" s="1672"/>
      <c r="H706" s="1672"/>
      <c r="I706" s="1672"/>
      <c r="J706" s="1672"/>
      <c r="K706" s="1672"/>
      <c r="L706" s="1672"/>
      <c r="M706" s="1672"/>
      <c r="N706" s="1672"/>
      <c r="O706" s="1672"/>
      <c r="P706" s="1672"/>
      <c r="Q706" s="1672"/>
      <c r="R706" s="1672"/>
      <c r="S706" s="1673"/>
      <c r="T706" s="1897">
        <f>IF(SUM(T707:Y708)&gt;52,52,SUM(T707:Y708))</f>
        <v>52</v>
      </c>
      <c r="U706" s="1670"/>
      <c r="V706" s="1670"/>
      <c r="W706" s="1670"/>
      <c r="X706" s="1670"/>
      <c r="Y706" s="1670"/>
      <c r="Z706" s="1670">
        <v>52</v>
      </c>
      <c r="AA706" s="1670"/>
      <c r="AB706" s="1670"/>
      <c r="AC706" s="1670"/>
      <c r="AD706" s="1670"/>
      <c r="AE706" s="1670"/>
      <c r="AF706" s="1670">
        <f>$AO$698+$T$708</f>
        <v>52</v>
      </c>
      <c r="AG706" s="1670"/>
      <c r="AH706" s="1670"/>
      <c r="AI706" s="1670"/>
      <c r="AJ706" s="1670"/>
      <c r="AK706" s="1670"/>
      <c r="AL706" s="775"/>
      <c r="AM706" s="20"/>
    </row>
    <row r="707" spans="1:39">
      <c r="A707" s="616"/>
      <c r="B707" s="618"/>
      <c r="C707" s="618"/>
      <c r="D707" s="619" t="s">
        <v>2201</v>
      </c>
      <c r="E707" s="1675" t="s">
        <v>183</v>
      </c>
      <c r="F707" s="1675"/>
      <c r="G707" s="1675"/>
      <c r="H707" s="1675"/>
      <c r="I707" s="1675"/>
      <c r="J707" s="1675"/>
      <c r="K707" s="1675"/>
      <c r="L707" s="1675"/>
      <c r="M707" s="1675"/>
      <c r="N707" s="1675"/>
      <c r="O707" s="1675"/>
      <c r="P707" s="1675"/>
      <c r="Q707" s="1675"/>
      <c r="R707" s="1675"/>
      <c r="S707" s="1676"/>
      <c r="T707" s="1892">
        <f>AC592</f>
        <v>60</v>
      </c>
      <c r="U707" s="1893"/>
      <c r="V707" s="1893"/>
      <c r="W707" s="1893"/>
      <c r="X707" s="1893"/>
      <c r="Y707" s="1894"/>
      <c r="Z707" s="1892">
        <v>50</v>
      </c>
      <c r="AA707" s="1893"/>
      <c r="AB707" s="1893"/>
      <c r="AC707" s="1893"/>
      <c r="AD707" s="1893"/>
      <c r="AE707" s="1894"/>
      <c r="AF707" s="1901"/>
      <c r="AG707" s="1902"/>
      <c r="AH707" s="1902"/>
      <c r="AI707" s="1902"/>
      <c r="AJ707" s="1902"/>
      <c r="AK707" s="1903"/>
      <c r="AL707" s="775"/>
      <c r="AM707" s="4"/>
    </row>
    <row r="708" spans="1:39">
      <c r="A708" s="620"/>
      <c r="B708" s="612"/>
      <c r="C708" s="612"/>
      <c r="D708" s="304" t="s">
        <v>2202</v>
      </c>
      <c r="E708" s="1675" t="s">
        <v>269</v>
      </c>
      <c r="F708" s="1675"/>
      <c r="G708" s="1675"/>
      <c r="H708" s="1675"/>
      <c r="I708" s="1675"/>
      <c r="J708" s="1675"/>
      <c r="K708" s="1675"/>
      <c r="L708" s="1675"/>
      <c r="M708" s="1675"/>
      <c r="N708" s="1675"/>
      <c r="O708" s="1675"/>
      <c r="P708" s="1675"/>
      <c r="Q708" s="1675"/>
      <c r="R708" s="1675"/>
      <c r="S708" s="1676"/>
      <c r="T708" s="1805">
        <f>IF(AJ617&gt;0,2,0)</f>
        <v>2</v>
      </c>
      <c r="U708" s="1806"/>
      <c r="V708" s="1806"/>
      <c r="W708" s="1806"/>
      <c r="X708" s="1806"/>
      <c r="Y708" s="1807"/>
      <c r="Z708" s="1285">
        <v>2</v>
      </c>
      <c r="AA708" s="1286"/>
      <c r="AB708" s="1286"/>
      <c r="AC708" s="1286"/>
      <c r="AD708" s="1286"/>
      <c r="AE708" s="1287"/>
      <c r="AF708" s="1842"/>
      <c r="AG708" s="1843"/>
      <c r="AH708" s="1843"/>
      <c r="AI708" s="1843"/>
      <c r="AJ708" s="1843"/>
      <c r="AK708" s="1844"/>
      <c r="AL708" s="775"/>
      <c r="AM708" s="4"/>
    </row>
    <row r="709" spans="1:39">
      <c r="A709" s="616" t="s">
        <v>123</v>
      </c>
      <c r="B709" s="1672" t="s">
        <v>542</v>
      </c>
      <c r="C709" s="1672"/>
      <c r="D709" s="1672"/>
      <c r="E709" s="1672"/>
      <c r="F709" s="1672"/>
      <c r="G709" s="1672"/>
      <c r="H709" s="1672"/>
      <c r="I709" s="1672"/>
      <c r="J709" s="1672"/>
      <c r="K709" s="1672"/>
      <c r="L709" s="1672"/>
      <c r="M709" s="1672"/>
      <c r="N709" s="1672"/>
      <c r="O709" s="1672"/>
      <c r="P709" s="1672"/>
      <c r="Q709" s="1672"/>
      <c r="R709" s="1672"/>
      <c r="S709" s="1673"/>
      <c r="T709" s="1671">
        <f>AK645</f>
        <v>10</v>
      </c>
      <c r="U709" s="1671"/>
      <c r="V709" s="1671"/>
      <c r="W709" s="1671"/>
      <c r="X709" s="1671"/>
      <c r="Y709" s="1671"/>
      <c r="Z709" s="1526">
        <v>10</v>
      </c>
      <c r="AA709" s="1526"/>
      <c r="AB709" s="1526"/>
      <c r="AC709" s="1526"/>
      <c r="AD709" s="1526"/>
      <c r="AE709" s="1526"/>
      <c r="AF709" s="1359">
        <f>IF(T709&gt;Z709,Z709,T709)</f>
        <v>10</v>
      </c>
      <c r="AG709" s="1360"/>
      <c r="AH709" s="1360"/>
      <c r="AI709" s="1360"/>
      <c r="AJ709" s="1360"/>
      <c r="AK709" s="1361"/>
      <c r="AL709" s="775"/>
      <c r="AM709" s="20"/>
    </row>
    <row r="710" spans="1:39">
      <c r="A710" s="616" t="s">
        <v>125</v>
      </c>
      <c r="B710" s="1672" t="s">
        <v>985</v>
      </c>
      <c r="C710" s="1672"/>
      <c r="D710" s="1672"/>
      <c r="E710" s="1672"/>
      <c r="F710" s="1672"/>
      <c r="G710" s="1672"/>
      <c r="H710" s="1672"/>
      <c r="I710" s="1672"/>
      <c r="J710" s="1672"/>
      <c r="K710" s="1672"/>
      <c r="L710" s="1672"/>
      <c r="M710" s="1672"/>
      <c r="N710" s="1672"/>
      <c r="O710" s="1672"/>
      <c r="P710" s="1672"/>
      <c r="Q710" s="1672"/>
      <c r="R710" s="1672"/>
      <c r="S710" s="1673"/>
      <c r="T710" s="1898">
        <f>IF(AK688&gt;2,2,AK688)</f>
        <v>2</v>
      </c>
      <c r="U710" s="1899"/>
      <c r="V710" s="1899"/>
      <c r="W710" s="1899"/>
      <c r="X710" s="1899"/>
      <c r="Y710" s="1900"/>
      <c r="Z710" s="1359">
        <v>2</v>
      </c>
      <c r="AA710" s="1360"/>
      <c r="AB710" s="1360"/>
      <c r="AC710" s="1360"/>
      <c r="AD710" s="1360"/>
      <c r="AE710" s="1361"/>
      <c r="AF710" s="1359">
        <f>IF(T710&gt;Z710,Z710,T710)</f>
        <v>2</v>
      </c>
      <c r="AG710" s="1840"/>
      <c r="AH710" s="1840"/>
      <c r="AI710" s="1840"/>
      <c r="AJ710" s="1840"/>
      <c r="AK710" s="1841"/>
      <c r="AL710" s="3"/>
      <c r="AM710" s="20"/>
    </row>
    <row r="711" spans="1:39">
      <c r="A711" s="1919" t="s">
        <v>297</v>
      </c>
      <c r="B711" s="1672"/>
      <c r="C711" s="1672"/>
      <c r="D711" s="1672"/>
      <c r="E711" s="1672"/>
      <c r="F711" s="1672"/>
      <c r="G711" s="1672"/>
      <c r="H711" s="1672"/>
      <c r="I711" s="1672"/>
      <c r="J711" s="1672"/>
      <c r="K711" s="1672"/>
      <c r="L711" s="1672"/>
      <c r="M711" s="1672"/>
      <c r="N711" s="1672"/>
      <c r="O711" s="1672"/>
      <c r="P711" s="1672"/>
      <c r="Q711" s="1672"/>
      <c r="R711" s="1672"/>
      <c r="S711" s="1673"/>
      <c r="T711" s="1131"/>
      <c r="U711" s="1131"/>
      <c r="V711" s="1131"/>
      <c r="W711" s="1131"/>
      <c r="X711" s="1131"/>
      <c r="Y711" s="1131"/>
      <c r="Z711" s="1677" t="s">
        <v>296</v>
      </c>
      <c r="AA711" s="1677"/>
      <c r="AB711" s="1677"/>
      <c r="AC711" s="1677"/>
      <c r="AD711" s="1677"/>
      <c r="AE711" s="1677"/>
      <c r="AF711" s="1359">
        <f>IF(T711&gt;0,T711,0)</f>
        <v>0</v>
      </c>
      <c r="AG711" s="1360"/>
      <c r="AH711" s="1360"/>
      <c r="AI711" s="1360"/>
      <c r="AJ711" s="1360"/>
      <c r="AK711" s="1361"/>
      <c r="AL711" s="18"/>
      <c r="AM711" s="20"/>
    </row>
    <row r="712" spans="1:39" ht="15.75">
      <c r="A712" s="1881" t="s">
        <v>721</v>
      </c>
      <c r="B712" s="1882"/>
      <c r="C712" s="1882"/>
      <c r="D712" s="1882"/>
      <c r="E712" s="1882"/>
      <c r="F712" s="1882"/>
      <c r="G712" s="1882"/>
      <c r="H712" s="1882"/>
      <c r="I712" s="1882"/>
      <c r="J712" s="1882"/>
      <c r="K712" s="1882"/>
      <c r="L712" s="1882"/>
      <c r="M712" s="1882"/>
      <c r="N712" s="1882"/>
      <c r="O712" s="1882"/>
      <c r="P712" s="1882"/>
      <c r="Q712" s="1882"/>
      <c r="R712" s="1882"/>
      <c r="S712" s="1882"/>
      <c r="T712" s="1882"/>
      <c r="U712" s="1882"/>
      <c r="V712" s="1882"/>
      <c r="W712" s="1882"/>
      <c r="X712" s="1882"/>
      <c r="Y712" s="1882"/>
      <c r="Z712" s="1882"/>
      <c r="AA712" s="1882"/>
      <c r="AB712" s="1882"/>
      <c r="AC712" s="1882"/>
      <c r="AD712" s="1882"/>
      <c r="AE712" s="1883"/>
      <c r="AF712" s="1831">
        <f>SUM(AF698:AK710)-AF711</f>
        <v>109</v>
      </c>
      <c r="AG712" s="1832"/>
      <c r="AH712" s="1832"/>
      <c r="AI712" s="1832"/>
      <c r="AJ712" s="1832"/>
      <c r="AK712" s="1833"/>
      <c r="AL712" s="776"/>
      <c r="AM712" s="4"/>
    </row>
    <row r="713" spans="1:39" ht="12.4" customHeight="1">
      <c r="A713" s="1884"/>
      <c r="B713" s="1885"/>
      <c r="C713" s="1885"/>
      <c r="D713" s="1885"/>
      <c r="E713" s="1885"/>
      <c r="F713" s="1885"/>
      <c r="G713" s="1885"/>
      <c r="H713" s="1885"/>
      <c r="I713" s="1885"/>
      <c r="J713" s="1885"/>
      <c r="K713" s="1885"/>
      <c r="L713" s="1885"/>
      <c r="M713" s="1885"/>
      <c r="N713" s="1885"/>
      <c r="O713" s="1885"/>
      <c r="P713" s="1885"/>
      <c r="Q713" s="1885"/>
      <c r="R713" s="1885"/>
      <c r="S713" s="1885"/>
      <c r="T713" s="1885"/>
      <c r="U713" s="1885"/>
      <c r="V713" s="1885"/>
      <c r="W713" s="1885"/>
      <c r="X713" s="1885"/>
      <c r="Y713" s="1885"/>
      <c r="Z713" s="1885"/>
      <c r="AA713" s="1885"/>
      <c r="AB713" s="1885"/>
      <c r="AC713" s="1885"/>
      <c r="AD713" s="1885"/>
      <c r="AE713" s="1886"/>
      <c r="AF713" s="1834"/>
      <c r="AG713" s="1835"/>
      <c r="AH713" s="1835"/>
      <c r="AI713" s="1835"/>
      <c r="AJ713" s="1835"/>
      <c r="AK713" s="1836"/>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908"/>
    </row>
    <row r="715" spans="1:39" ht="12.4"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908"/>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37" t="s">
        <v>2022</v>
      </c>
      <c r="B1" s="1937"/>
      <c r="C1" s="1937"/>
      <c r="D1" s="1937"/>
      <c r="E1" s="1937"/>
      <c r="F1" s="1937"/>
      <c r="G1" s="1937"/>
      <c r="H1" s="1937"/>
      <c r="I1" s="1937"/>
      <c r="J1" s="1937"/>
      <c r="K1" s="1937"/>
      <c r="L1" s="1937"/>
      <c r="M1" s="1937"/>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1937"/>
      <c r="AO1" s="1937"/>
      <c r="AP1" s="1937"/>
      <c r="AQ1" s="1937"/>
    </row>
    <row r="2" spans="1:57" ht="15" customHeight="1">
      <c r="A2" s="1937"/>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row>
    <row r="3" spans="1:57">
      <c r="A3" s="894"/>
      <c r="B3" s="894"/>
      <c r="I3" s="895"/>
      <c r="K3" s="896"/>
    </row>
    <row r="4" spans="1:57" ht="14.25" customHeight="1">
      <c r="A4" s="1926" t="s">
        <v>2023</v>
      </c>
      <c r="B4" s="1926"/>
      <c r="C4" s="1926"/>
      <c r="D4" s="1926"/>
      <c r="E4" s="1926"/>
      <c r="F4" s="1926"/>
      <c r="G4" s="1926"/>
      <c r="H4" s="1926"/>
      <c r="I4" s="1926"/>
      <c r="J4" s="1926"/>
      <c r="K4" s="1926"/>
      <c r="L4" s="1926"/>
      <c r="M4" s="1926"/>
      <c r="N4" s="1926"/>
      <c r="O4" s="1926"/>
      <c r="P4" s="1926"/>
      <c r="Q4" s="1926"/>
      <c r="R4" s="1926"/>
      <c r="S4" s="1926"/>
      <c r="T4" s="1926"/>
      <c r="U4" s="1926"/>
      <c r="V4" s="1926"/>
      <c r="W4" s="1926"/>
      <c r="X4" s="1926"/>
      <c r="Y4" s="1926"/>
      <c r="Z4" s="1926"/>
      <c r="AA4" s="1926"/>
      <c r="AB4" s="1926"/>
      <c r="AC4" s="1926"/>
      <c r="AD4" s="1926"/>
      <c r="AE4" s="1926"/>
      <c r="AF4" s="1926"/>
      <c r="AG4" s="1926"/>
      <c r="AH4" s="1926"/>
      <c r="AI4" s="1926"/>
      <c r="AJ4" s="1926"/>
      <c r="AK4" s="1926"/>
      <c r="AL4" s="1926"/>
      <c r="AM4" s="1926"/>
      <c r="AN4" s="1926"/>
      <c r="AO4" s="1926"/>
      <c r="AP4" s="1926"/>
      <c r="AQ4" s="1926"/>
    </row>
    <row r="5" spans="1:57">
      <c r="A5" s="894"/>
      <c r="B5" s="894"/>
      <c r="I5" s="895"/>
      <c r="K5" s="896"/>
    </row>
    <row r="6" spans="1:57">
      <c r="A6" s="894"/>
      <c r="B6" s="894"/>
      <c r="D6" s="892" t="s">
        <v>2026</v>
      </c>
      <c r="I6" s="895"/>
      <c r="K6" s="896"/>
      <c r="U6" s="1936"/>
      <c r="V6" s="1936"/>
      <c r="W6" s="1936"/>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7"/>
      <c r="Q9" s="1927"/>
      <c r="R9" s="1927"/>
      <c r="S9" s="1927"/>
      <c r="T9" s="1927"/>
    </row>
    <row r="10" spans="1:57">
      <c r="A10" s="894"/>
      <c r="B10" s="894"/>
      <c r="I10" s="895"/>
      <c r="K10" s="896"/>
    </row>
    <row r="11" spans="1:57">
      <c r="A11" s="1926" t="s">
        <v>2029</v>
      </c>
      <c r="B11" s="1926"/>
      <c r="C11" s="1926"/>
      <c r="D11" s="1926"/>
      <c r="E11" s="1926"/>
      <c r="F11" s="1926"/>
      <c r="G11" s="1926"/>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6"/>
      <c r="AO11" s="1926"/>
      <c r="AP11" s="1926"/>
      <c r="AQ11" s="1926"/>
      <c r="BC11" s="892" t="s">
        <v>108</v>
      </c>
    </row>
    <row r="12" spans="1:57">
      <c r="A12" s="894"/>
      <c r="B12" s="894"/>
      <c r="I12" s="895"/>
      <c r="K12" s="896"/>
      <c r="BC12" s="892" t="s">
        <v>482</v>
      </c>
    </row>
    <row r="13" spans="1:57">
      <c r="A13" s="894"/>
      <c r="B13" s="894"/>
      <c r="D13" s="892" t="s">
        <v>2030</v>
      </c>
      <c r="I13" s="895"/>
      <c r="K13" s="896"/>
      <c r="T13" s="1936"/>
      <c r="U13" s="1936"/>
      <c r="V13" s="1936"/>
    </row>
    <row r="14" spans="1:57">
      <c r="A14" s="894"/>
      <c r="B14" s="894"/>
      <c r="E14" s="892" t="s">
        <v>2037</v>
      </c>
      <c r="I14" s="895"/>
      <c r="K14" s="896"/>
      <c r="N14" s="1924"/>
      <c r="O14" s="1924"/>
      <c r="P14" s="1924"/>
      <c r="Q14" s="1924"/>
      <c r="R14" s="1924"/>
      <c r="S14" s="1924"/>
      <c r="T14" s="1924"/>
      <c r="U14" s="1924"/>
      <c r="V14" s="1924"/>
      <c r="W14" s="1924"/>
      <c r="X14" s="1924"/>
      <c r="Y14" s="1924"/>
      <c r="Z14" s="1924"/>
      <c r="AA14" s="1924"/>
      <c r="AB14" s="1924"/>
      <c r="AC14" s="1924"/>
      <c r="AD14" s="1924"/>
      <c r="AE14" s="1924"/>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1391117.7</v>
      </c>
    </row>
    <row r="16" spans="1:57">
      <c r="A16" s="894"/>
      <c r="B16" s="894"/>
      <c r="BC16" s="892" t="s">
        <v>2041</v>
      </c>
      <c r="BE16" s="892">
        <f>'Basis &amp; Credits'!T11+'Basis &amp; Credits'!AD11</f>
        <v>22351129</v>
      </c>
    </row>
    <row r="17" spans="1:43">
      <c r="A17" s="894"/>
      <c r="B17" s="894"/>
      <c r="D17" s="892" t="s">
        <v>2032</v>
      </c>
      <c r="I17" s="895"/>
      <c r="K17" s="896"/>
      <c r="U17" s="1925" t="str">
        <f>IF(T13="yes",(BE15/BE16)," ")</f>
        <v xml:space="preserve"> </v>
      </c>
      <c r="V17" s="1925"/>
      <c r="W17" s="1925"/>
      <c r="X17" s="1925"/>
      <c r="Y17" s="1925"/>
    </row>
    <row r="18" spans="1:43">
      <c r="A18" s="894"/>
      <c r="B18" s="894"/>
      <c r="I18" s="895"/>
      <c r="K18" s="896"/>
    </row>
    <row r="19" spans="1:43">
      <c r="A19" s="1926" t="s">
        <v>2034</v>
      </c>
      <c r="B19" s="1926"/>
      <c r="C19" s="1926"/>
      <c r="D19" s="1926"/>
      <c r="E19" s="1926"/>
      <c r="F19" s="1926"/>
      <c r="G19" s="1926"/>
      <c r="H19" s="1926"/>
      <c r="I19" s="1926"/>
      <c r="J19" s="1926"/>
      <c r="K19" s="1926"/>
      <c r="L19" s="1926"/>
      <c r="M19" s="1926"/>
      <c r="N19" s="1926"/>
      <c r="O19" s="1926"/>
      <c r="P19" s="1926"/>
      <c r="Q19" s="1926"/>
      <c r="R19" s="1926"/>
      <c r="S19" s="1926"/>
      <c r="T19" s="1926"/>
      <c r="U19" s="1926"/>
      <c r="V19" s="1926"/>
      <c r="W19" s="1926"/>
      <c r="X19" s="1926"/>
      <c r="Y19" s="1926"/>
      <c r="Z19" s="1926"/>
      <c r="AA19" s="1926"/>
      <c r="AB19" s="1926"/>
      <c r="AC19" s="1926"/>
      <c r="AD19" s="1926"/>
      <c r="AE19" s="1926"/>
      <c r="AF19" s="1926"/>
      <c r="AG19" s="1926"/>
      <c r="AH19" s="1926"/>
      <c r="AI19" s="1926"/>
      <c r="AJ19" s="1926"/>
      <c r="AK19" s="1926"/>
      <c r="AL19" s="1926"/>
      <c r="AM19" s="1926"/>
      <c r="AN19" s="1926"/>
      <c r="AO19" s="1926"/>
      <c r="AP19" s="1926"/>
      <c r="AQ19" s="1926"/>
    </row>
    <row r="20" spans="1:43">
      <c r="C20" s="894"/>
      <c r="D20" s="894"/>
      <c r="K20" s="895"/>
      <c r="M20" s="896"/>
    </row>
    <row r="21" spans="1:43">
      <c r="C21" s="894"/>
      <c r="D21" s="894"/>
      <c r="K21" s="895"/>
      <c r="M21" s="896"/>
    </row>
    <row r="22" spans="1:43">
      <c r="C22" s="897" t="s">
        <v>728</v>
      </c>
      <c r="D22" s="897"/>
      <c r="E22" s="892" t="s">
        <v>2035</v>
      </c>
      <c r="H22" s="898"/>
      <c r="K22" s="892"/>
      <c r="Q22" s="1928">
        <f>ROUND('Basis &amp; Credits'!AB55,0)</f>
        <v>1391118</v>
      </c>
      <c r="R22" s="1928"/>
      <c r="S22" s="1928"/>
      <c r="T22" s="1928"/>
      <c r="U22" s="1928"/>
      <c r="V22" s="1928"/>
      <c r="W22" s="1928"/>
      <c r="X22" s="1928"/>
      <c r="Y22" s="912"/>
    </row>
    <row r="23" spans="1:43">
      <c r="C23" s="894"/>
      <c r="D23" s="894"/>
      <c r="G23" s="899"/>
      <c r="H23" s="899"/>
      <c r="I23" s="900"/>
      <c r="J23" s="900"/>
      <c r="K23" s="899"/>
      <c r="M23" s="893"/>
    </row>
    <row r="24" spans="1:43">
      <c r="C24" s="901"/>
      <c r="D24" s="901"/>
      <c r="E24" s="902"/>
      <c r="J24" s="900"/>
      <c r="K24" s="892"/>
      <c r="L24" s="1935" t="s">
        <v>2012</v>
      </c>
      <c r="M24" s="1935"/>
      <c r="N24" s="1935"/>
      <c r="P24" s="1931" t="s">
        <v>2013</v>
      </c>
      <c r="Q24" s="1931"/>
      <c r="R24" s="1931"/>
      <c r="S24" s="1931"/>
      <c r="T24" s="1931"/>
      <c r="V24" s="1931" t="s">
        <v>2014</v>
      </c>
      <c r="W24" s="1931"/>
      <c r="X24" s="1931"/>
    </row>
    <row r="25" spans="1:43">
      <c r="C25" s="897" t="s">
        <v>190</v>
      </c>
      <c r="D25" s="897"/>
      <c r="E25" s="892" t="s">
        <v>986</v>
      </c>
      <c r="J25" s="900"/>
      <c r="L25" s="1932" t="s">
        <v>2015</v>
      </c>
      <c r="M25" s="1932"/>
      <c r="N25" s="1932"/>
      <c r="P25" s="1932" t="s">
        <v>2016</v>
      </c>
      <c r="Q25" s="1932"/>
      <c r="R25" s="1932"/>
      <c r="S25" s="1932"/>
      <c r="T25" s="1932"/>
      <c r="V25" s="1932" t="s">
        <v>2015</v>
      </c>
      <c r="W25" s="1932"/>
      <c r="X25" s="1932"/>
    </row>
    <row r="26" spans="1:43">
      <c r="C26" s="894"/>
      <c r="D26" s="894"/>
      <c r="E26" s="903" t="s">
        <v>2017</v>
      </c>
      <c r="F26" s="903"/>
      <c r="J26" s="904"/>
      <c r="L26" s="1929">
        <f>Application!BN634</f>
        <v>18</v>
      </c>
      <c r="M26" s="1929"/>
      <c r="N26" s="1929"/>
      <c r="P26" s="1933">
        <v>0.9</v>
      </c>
      <c r="Q26" s="1933"/>
      <c r="R26" s="1933"/>
      <c r="S26" s="1933"/>
      <c r="T26" s="1933"/>
      <c r="V26" s="1933">
        <f>L26*P26</f>
        <v>16.2</v>
      </c>
      <c r="W26" s="1933"/>
      <c r="X26" s="1933"/>
    </row>
    <row r="27" spans="1:43">
      <c r="C27" s="894"/>
      <c r="D27" s="894"/>
      <c r="E27" s="892" t="s">
        <v>2018</v>
      </c>
      <c r="J27" s="904"/>
      <c r="L27" s="1938">
        <f>Application!BS634</f>
        <v>25</v>
      </c>
      <c r="M27" s="1938">
        <f>Application!BS642+Application!BS651+Application!CX665</f>
        <v>0</v>
      </c>
      <c r="N27" s="1938"/>
      <c r="P27" s="1934">
        <v>1</v>
      </c>
      <c r="Q27" s="1934"/>
      <c r="R27" s="1934"/>
      <c r="S27" s="1934"/>
      <c r="T27" s="1934"/>
      <c r="V27" s="1934">
        <f>L27*P27</f>
        <v>25</v>
      </c>
      <c r="W27" s="1934"/>
      <c r="X27" s="1934"/>
    </row>
    <row r="28" spans="1:43">
      <c r="C28" s="894"/>
      <c r="D28" s="894"/>
      <c r="E28" s="892" t="s">
        <v>2019</v>
      </c>
      <c r="J28" s="904"/>
      <c r="L28" s="1938">
        <f>Application!BX634</f>
        <v>2</v>
      </c>
      <c r="M28" s="1938">
        <f>Application!BX642+Application!BX651+Application!DC665</f>
        <v>0</v>
      </c>
      <c r="N28" s="1938"/>
      <c r="P28" s="1934">
        <v>1.25</v>
      </c>
      <c r="Q28" s="1934"/>
      <c r="R28" s="1934"/>
      <c r="S28" s="1934"/>
      <c r="T28" s="1934"/>
      <c r="V28" s="1934">
        <f>L28*P28</f>
        <v>2.5</v>
      </c>
      <c r="W28" s="1934"/>
      <c r="X28" s="1934"/>
    </row>
    <row r="29" spans="1:43">
      <c r="C29" s="894"/>
      <c r="D29" s="894"/>
      <c r="E29" s="892" t="s">
        <v>2020</v>
      </c>
      <c r="J29" s="904"/>
      <c r="L29" s="1938">
        <f>Application!CC634</f>
        <v>0</v>
      </c>
      <c r="M29" s="1938">
        <f>Application!CC642+Application!CC651+Application!DH665</f>
        <v>0</v>
      </c>
      <c r="N29" s="1938"/>
      <c r="P29" s="1934">
        <v>1.5</v>
      </c>
      <c r="Q29" s="1934"/>
      <c r="R29" s="1934"/>
      <c r="S29" s="1934"/>
      <c r="T29" s="1934"/>
      <c r="V29" s="1934">
        <f>L29*P29</f>
        <v>0</v>
      </c>
      <c r="W29" s="1934"/>
      <c r="X29" s="1934"/>
    </row>
    <row r="30" spans="1:43">
      <c r="C30" s="894"/>
      <c r="D30" s="894"/>
      <c r="E30" s="892" t="s">
        <v>2021</v>
      </c>
      <c r="J30" s="904"/>
      <c r="L30" s="1939">
        <f>Application!CH634+Application!CM634</f>
        <v>0</v>
      </c>
      <c r="M30" s="1939"/>
      <c r="N30" s="1939"/>
      <c r="P30" s="1934">
        <v>1.75</v>
      </c>
      <c r="Q30" s="1934"/>
      <c r="R30" s="1934">
        <f>1.75+0.25*0</f>
        <v>1.75</v>
      </c>
      <c r="S30" s="1934"/>
      <c r="T30" s="1934"/>
      <c r="V30" s="1943">
        <f>L30*P30</f>
        <v>0</v>
      </c>
      <c r="W30" s="1943"/>
      <c r="X30" s="1943"/>
    </row>
    <row r="31" spans="1:43">
      <c r="C31" s="894"/>
      <c r="D31" s="894"/>
      <c r="L31" s="1929">
        <f>SUM(L26:N30)</f>
        <v>45</v>
      </c>
      <c r="M31" s="1930"/>
      <c r="N31" s="1930"/>
      <c r="V31" s="1933">
        <f>SUM(V26:X30)</f>
        <v>43.7</v>
      </c>
      <c r="W31" s="1933"/>
      <c r="X31" s="1933"/>
    </row>
    <row r="32" spans="1:43">
      <c r="C32" s="894"/>
      <c r="D32" s="894"/>
      <c r="K32" s="905"/>
    </row>
    <row r="33" spans="1:27">
      <c r="C33" s="897" t="s">
        <v>191</v>
      </c>
      <c r="D33" s="897"/>
      <c r="E33" s="894" t="s">
        <v>2036</v>
      </c>
      <c r="H33" s="906"/>
      <c r="I33" s="907"/>
      <c r="J33" s="908"/>
      <c r="K33" s="905"/>
      <c r="M33" s="893"/>
      <c r="V33" s="1940">
        <f>IF(V31&gt;0,V31/Q22," ")</f>
        <v>3.1413582456700295E-5</v>
      </c>
      <c r="W33" s="1941"/>
      <c r="X33" s="1941"/>
      <c r="Y33" s="1941"/>
      <c r="Z33" s="1941"/>
      <c r="AA33" s="1942"/>
    </row>
    <row r="34" spans="1:27">
      <c r="K34" s="892"/>
      <c r="M34" s="893"/>
    </row>
    <row r="35" spans="1:27">
      <c r="E35" s="894" t="s">
        <v>2042</v>
      </c>
      <c r="F35" s="894"/>
      <c r="G35" s="894"/>
      <c r="H35" s="894"/>
      <c r="I35" s="894"/>
      <c r="J35" s="894"/>
      <c r="K35" s="894"/>
      <c r="L35" s="894"/>
      <c r="M35" s="914"/>
      <c r="N35" s="894"/>
      <c r="O35" s="894"/>
      <c r="P35" s="894"/>
      <c r="Q35" s="894"/>
      <c r="R35" s="894"/>
      <c r="V35" s="1921">
        <f>IF(V31&gt;0,1/V33," ")</f>
        <v>31833.363844393592</v>
      </c>
      <c r="W35" s="1922"/>
      <c r="X35" s="1922"/>
      <c r="Y35" s="1922"/>
      <c r="Z35" s="1922"/>
      <c r="AA35" s="1923"/>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2025-07-08T18:39:24Z</cp:lastPrinted>
  <dcterms:created xsi:type="dcterms:W3CDTF">2007-12-27T18:26:28Z</dcterms:created>
  <dcterms:modified xsi:type="dcterms:W3CDTF">2025-07-08T18:39:27Z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2025-06-02T18:39:52Z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5b0ee921-05fc-4fe8-9078-0743158e975b</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