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S:\Accepted\2025\03 November 19, 2025\25-689 The Ridge at Ralston\"/>
    </mc:Choice>
  </mc:AlternateContent>
  <xr:revisionPtr revIDLastSave="0" documentId="13_ncr:1_{76C6B323-9DBD-40DC-80C9-C4AB5CDB1EDB}" xr6:coauthVersionLast="47" xr6:coauthVersionMax="47" xr10:uidLastSave="{00000000-0000-0000-0000-000000000000}"/>
  <bookViews>
    <workbookView xWindow="-25320" yWindow="0" windowWidth="25440" windowHeight="15390" tabRatio="920" firstSheet="3"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AG446" i="3"/>
  <c r="C93" i="4" l="1"/>
  <c r="Q560" i="3" l="1"/>
  <c r="Q559" i="3"/>
  <c r="Q558" i="3"/>
  <c r="T627" i="3"/>
  <c r="Q627" i="3"/>
  <c r="E30" i="4" l="1"/>
  <c r="E94" i="4"/>
  <c r="E93" i="4"/>
  <c r="E92" i="4"/>
  <c r="E91" i="4"/>
  <c r="E90" i="4"/>
  <c r="E89" i="4"/>
  <c r="E88" i="4"/>
  <c r="E87" i="4"/>
  <c r="E86" i="4"/>
  <c r="E85" i="4"/>
  <c r="E84" i="4"/>
  <c r="E83" i="4"/>
  <c r="E80" i="4"/>
  <c r="E79" i="4"/>
  <c r="E75" i="4"/>
  <c r="E65" i="4"/>
  <c r="E61" i="4"/>
  <c r="E58" i="4"/>
  <c r="E52" i="4"/>
  <c r="E51" i="4"/>
  <c r="E50" i="4"/>
  <c r="E49" i="4"/>
  <c r="E48" i="4"/>
  <c r="E47" i="4"/>
  <c r="E46" i="4"/>
  <c r="E45" i="4"/>
  <c r="E40" i="4"/>
  <c r="E35" i="4"/>
  <c r="E34" i="4"/>
  <c r="E33" i="4"/>
  <c r="E32" i="4"/>
  <c r="E13" i="4"/>
  <c r="E5" i="4"/>
  <c r="E4" i="4"/>
  <c r="E31" i="4"/>
  <c r="E99" i="4"/>
  <c r="C95" i="4" l="1"/>
  <c r="E95" i="4" s="1"/>
  <c r="C69" i="4"/>
  <c r="E69" i="4" s="1"/>
  <c r="C53" i="4"/>
  <c r="E53" i="4" s="1"/>
  <c r="AA949" i="3"/>
  <c r="W849"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9" i="13"/>
  <c r="F69" i="13" s="1"/>
  <c r="B66" i="13"/>
  <c r="B67" i="13"/>
  <c r="B68" i="13"/>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50" i="13"/>
  <c r="F50" i="13" s="1"/>
  <c r="E47" i="13"/>
  <c r="F47" i="13" s="1"/>
  <c r="E46" i="13"/>
  <c r="F46" i="13" s="1"/>
  <c r="E45" i="13"/>
  <c r="F45" i="13" s="1"/>
  <c r="E27" i="13"/>
  <c r="E25" i="13"/>
  <c r="E23" i="13"/>
  <c r="E22" i="13"/>
  <c r="E21" i="13"/>
  <c r="E20" i="13"/>
  <c r="E19" i="13"/>
  <c r="E18" i="13"/>
  <c r="E17" i="13"/>
  <c r="E15" i="13"/>
  <c r="E14" i="13"/>
  <c r="E13" i="13"/>
  <c r="F13" i="13" s="1"/>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R93" i="4"/>
  <c r="S93" i="4" s="1"/>
  <c r="E93" i="13" s="1"/>
  <c r="F93" i="13" s="1"/>
  <c r="R92" i="4"/>
  <c r="S92" i="4" s="1"/>
  <c r="E92" i="13" s="1"/>
  <c r="F92" i="13" s="1"/>
  <c r="R90" i="4"/>
  <c r="S90" i="4" s="1"/>
  <c r="E90" i="13" s="1"/>
  <c r="F90" i="13" s="1"/>
  <c r="R89" i="4"/>
  <c r="S89" i="4" s="1"/>
  <c r="E89" i="13" s="1"/>
  <c r="F89" i="13" s="1"/>
  <c r="R88" i="4"/>
  <c r="R87" i="4"/>
  <c r="S87" i="4" s="1"/>
  <c r="E87" i="13" s="1"/>
  <c r="F87" i="13" s="1"/>
  <c r="R86" i="4"/>
  <c r="S86" i="4" s="1"/>
  <c r="E86" i="13" s="1"/>
  <c r="F86" i="13" s="1"/>
  <c r="R85" i="4"/>
  <c r="S85" i="4" s="1"/>
  <c r="E85" i="13" s="1"/>
  <c r="F85" i="13" s="1"/>
  <c r="R83" i="4"/>
  <c r="R76" i="4"/>
  <c r="R75" i="4"/>
  <c r="R72" i="4"/>
  <c r="R73" i="4"/>
  <c r="R74" i="4"/>
  <c r="R69" i="4"/>
  <c r="R65" i="4"/>
  <c r="S65" i="4" s="1"/>
  <c r="E65" i="13" s="1"/>
  <c r="F65"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S48" i="4" s="1"/>
  <c r="E48" i="13" s="1"/>
  <c r="F48" i="13" s="1"/>
  <c r="R47" i="4"/>
  <c r="R46" i="4"/>
  <c r="R45" i="4"/>
  <c r="R43" i="4"/>
  <c r="S43" i="4" s="1"/>
  <c r="E43" i="13" s="1"/>
  <c r="F43" i="13" s="1"/>
  <c r="R41" i="4"/>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70" i="13" l="1"/>
  <c r="B26" i="4"/>
  <c r="C62" i="13"/>
  <c r="S104" i="4"/>
  <c r="BA1058" i="3" s="1"/>
  <c r="F70" i="13"/>
  <c r="C38" i="13"/>
  <c r="C54" i="13"/>
  <c r="S96" i="4"/>
  <c r="E96" i="13" s="1"/>
  <c r="F42" i="13"/>
  <c r="F38" i="13"/>
  <c r="C8" i="13"/>
  <c r="C12" i="13" s="1"/>
  <c r="C42" i="13"/>
  <c r="S81" i="4"/>
  <c r="E81" i="13" s="1"/>
  <c r="C81" i="13"/>
  <c r="S42" i="4"/>
  <c r="E42" i="13" s="1"/>
  <c r="C96" i="13"/>
  <c r="F54" i="13"/>
  <c r="F81" i="13"/>
  <c r="F96" i="13"/>
  <c r="S54" i="4"/>
  <c r="E54" i="13" s="1"/>
  <c r="S38" i="4"/>
  <c r="E38" i="13" s="1"/>
  <c r="S70" i="4"/>
  <c r="E70" i="13" s="1"/>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66" i="3" s="1"/>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C63" i="13"/>
  <c r="C97" i="13" s="1"/>
  <c r="C105" i="13" s="1"/>
  <c r="F63" i="13"/>
  <c r="F97" i="13" s="1"/>
  <c r="F105" i="13" s="1"/>
  <c r="F107" i="13" s="1"/>
  <c r="S63" i="4"/>
  <c r="E63" i="13"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23" i="21"/>
  <c r="O20" i="21"/>
  <c r="O25" i="21"/>
  <c r="P25" i="21" s="1" a="1"/>
  <c r="P25" i="21" s="1"/>
  <c r="S25" i="21" s="1"/>
  <c r="O21" i="21"/>
  <c r="P21" i="21" s="1" a="1"/>
  <c r="P21" i="21" s="1"/>
  <c r="S21" i="21" s="1"/>
  <c r="O24" i="21"/>
  <c r="P24" i="21" s="1" a="1"/>
  <c r="P24" i="21" s="1"/>
  <c r="S24" i="21" s="1"/>
  <c r="O26" i="21"/>
  <c r="P26" i="21" s="1" a="1"/>
  <c r="P26" i="21" s="1"/>
  <c r="S26" i="21" s="1"/>
  <c r="O28" i="21"/>
  <c r="P28" i="21" s="1" a="1"/>
  <c r="P28" i="21" s="1"/>
  <c r="S28" i="21" s="1"/>
  <c r="O27" i="21"/>
  <c r="P27" i="21" s="1" a="1"/>
  <c r="P27" i="21" s="1"/>
  <c r="S27" i="21" s="1"/>
  <c r="O22" i="21"/>
  <c r="P22" i="21" s="1" a="1"/>
  <c r="P22" i="21" s="1"/>
  <c r="S22"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3" i="21" a="1"/>
  <c r="P23" i="21" s="1"/>
  <c r="S23"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AJ1029" i="3" l="1"/>
  <c r="AJ1007" i="3"/>
  <c r="AJ994"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M26" i="3"/>
  <c r="BE19" i="3" s="1"/>
  <c r="U4" i="7"/>
  <c r="S5" i="7"/>
  <c r="M48" i="7"/>
  <c r="M47" i="7"/>
  <c r="M60" i="7"/>
  <c r="O45" i="7"/>
  <c r="O49" i="7"/>
  <c r="K66" i="7"/>
  <c r="K67" i="7"/>
  <c r="K62" i="7"/>
  <c r="Q7" i="7"/>
  <c r="Q11" i="7" s="1"/>
  <c r="Q37" i="7" s="1"/>
  <c r="S6" i="7"/>
  <c r="I70" i="7"/>
  <c r="I72" i="7" s="1"/>
  <c r="W22" i="7"/>
  <c r="W35" i="7" s="1"/>
  <c r="Y15" i="7"/>
  <c r="W9" i="7"/>
  <c r="Y8" i="7"/>
  <c r="AB57" i="15" l="1"/>
  <c r="P204" i="3"/>
  <c r="U5" i="7"/>
  <c r="W4" i="7"/>
  <c r="Q49" i="7"/>
  <c r="Q45" i="7"/>
  <c r="M62" i="7"/>
  <c r="M67" i="7"/>
  <c r="M66" i="7"/>
  <c r="O47" i="7"/>
  <c r="O48" i="7"/>
  <c r="O60" i="7"/>
  <c r="K70" i="7"/>
  <c r="K72" i="7" s="1"/>
  <c r="S7" i="7"/>
  <c r="S11" i="7" s="1"/>
  <c r="S37" i="7" s="1"/>
  <c r="U6" i="7"/>
  <c r="Y22" i="7"/>
  <c r="Y35" i="7" s="1"/>
  <c r="AA15" i="7"/>
  <c r="Y9" i="7"/>
  <c r="AA8" i="7"/>
  <c r="AB59" i="15" l="1"/>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53" i="7" s="1"/>
  <c r="AC58" i="7" s="1"/>
  <c r="AC49" i="7"/>
  <c r="AE7" i="7"/>
  <c r="AE11" i="7" s="1"/>
  <c r="AE37" i="7" s="1"/>
  <c r="AG6" i="7"/>
  <c r="Y67" i="7"/>
  <c r="Y62" i="7"/>
  <c r="Y66" i="7"/>
  <c r="Y70" i="7" l="1"/>
  <c r="Y72" i="7" s="1"/>
  <c r="AG7" i="7"/>
  <c r="AG11" i="7" s="1"/>
  <c r="AG37" i="7" s="1"/>
  <c r="AE49" i="7"/>
  <c r="AE45" i="7"/>
  <c r="AE53" i="7" s="1"/>
  <c r="AE58" i="7" s="1"/>
  <c r="AC60" i="7"/>
  <c r="AC48" i="7"/>
  <c r="AC47" i="7"/>
  <c r="AA66" i="7"/>
  <c r="AA67" i="7"/>
  <c r="AA62" i="7"/>
  <c r="AA70" i="7" l="1"/>
  <c r="AA72" i="7" s="1"/>
  <c r="AC66" i="7"/>
  <c r="AC62" i="7"/>
  <c r="AC67" i="7"/>
  <c r="AE47" i="7"/>
  <c r="AE48" i="7"/>
  <c r="AG49" i="7"/>
  <c r="AG45" i="7"/>
  <c r="AG54" i="7" s="1"/>
  <c r="AG58" i="7" s="1"/>
  <c r="AG48" i="7" l="1"/>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<sst xmlns="http://schemas.openxmlformats.org/spreadsheetml/2006/main" count="5047" uniqueCount="2766">
  <si>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</si>
  <si>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</si>
  <si>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</si>
  <si>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</si>
  <si>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</si>
  <si>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</si>
  <si>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</si>
  <si>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</si>
  <si>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</si>
  <si>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</si>
  <si>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</si>
  <si>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</si>
  <si>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</si>
  <si>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</si>
  <si>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</si>
  <si>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</si>
  <si>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</si>
  <si>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</si>
  <si>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</si>
  <si>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</si>
  <si>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</si>
  <si>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</si>
  <si>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</si>
  <si>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</si>
  <si>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</si>
  <si>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</si>
  <si>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</si>
  <si>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</si>
  <si>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</si>
  <si>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</si>
  <si>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</si>
  <si>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</si>
  <si>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</si>
  <si>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</si>
  <si>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</si>
  <si>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</si>
  <si>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</si>
  <si>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</si>
  <si>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</si>
  <si>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</si>
  <si>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</si>
  <si>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</si>
  <si>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</si>
  <si>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</si>
  <si>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</si>
  <si>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</si>
  <si>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</si>
  <si>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</si>
  <si>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</si>
  <si>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</si>
  <si>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</si>
  <si>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</si>
  <si>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</si>
  <si>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</si>
  <si>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</si>
  <si>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</si>
  <si>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</si>
  <si>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</si>
  <si>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</si>
  <si>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</si>
  <si>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</si>
  <si>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</si>
  <si>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</si>
  <si>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</si>
  <si>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</si>
  <si>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</si>
  <si>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</si>
  <si>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</si>
  <si>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</si>
  <si>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</si>
  <si>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</si>
  <si>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</si>
  <si>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</si>
  <si>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</si>
  <si>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</si>
  <si>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</si>
  <si>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</si>
  <si>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</si>
  <si>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</si>
  <si>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</si>
  <si>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</si>
  <si>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</si>
  <si>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</si>
  <si>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</si>
  <si>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</si>
  <si>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</si>
  <si>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</si>
  <si>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</si>
  <si>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</si>
  <si>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</si>
  <si>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</si>
  <si>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</si>
  <si>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</si>
  <si>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</si>
  <si>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</si>
  <si>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</si>
  <si>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</si>
  <si>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</si>
  <si>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</si>
  <si>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</si>
  <si>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</si>
  <si>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</si>
  <si>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</si>
  <si>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</si>
  <si>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</si>
  <si>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</si>
  <si>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</si>
  <si>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</si>
  <si>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</si>
  <si>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</si>
  <si>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</si>
  <si>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</si>
  <si>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</si>
  <si>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</si>
  <si>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</si>
  <si>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</si>
  <si>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</si>
  <si>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</si>
  <si>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</si>
  <si>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</si>
  <si>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</si>
  <si>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</si>
  <si>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</si>
  <si>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</si>
  <si>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</si>
  <si>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</si>
  <si>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</si>
  <si>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</si>
  <si>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</si>
  <si>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</si>
  <si>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</si>
  <si>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</si>
  <si>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</si>
  <si>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</si>
  <si>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</si>
  <si>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</si>
  <si>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</si>
  <si>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</si>
  <si>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</si>
  <si>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</si>
  <si>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</si>
  <si>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</si>
  <si>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</si>
  <si>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</si>
  <si>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</si>
  <si>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</si>
  <si>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</si>
  <si>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</si>
  <si>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</si>
  <si>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</si>
  <si>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</si>
  <si>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</si>
  <si>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</si>
  <si>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</si>
  <si>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</si>
  <si>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</si>
  <si>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</si>
  <si>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</si>
  <si>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</si>
  <si>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</si>
  <si>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</si>
  <si>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</si>
  <si>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</si>
  <si>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</si>
  <si>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</si>
  <si>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</si>
  <si>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</si>
  <si>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</si>
  <si>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</si>
  <si>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</si>
  <si>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</si>
  <si>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</si>
  <si>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</si>
  <si>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</si>
  <si>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</si>
  <si>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</si>
  <si>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</si>
  <si>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</si>
  <si>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</si>
  <si>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</si>
  <si>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</si>
  <si>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</si>
  <si>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</si>
  <si>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</si>
  <si>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</si>
  <si>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</si>
  <si>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</si>
  <si>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</si>
  <si>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</si>
  <si>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</si>
  <si>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</si>
  <si>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</si>
  <si>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</si>
  <si>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</si>
  <si>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</si>
  <si>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</si>
  <si>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</si>
  <si>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</si>
  <si>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</si>
  <si>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</si>
  <si>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</si>
  <si>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</si>
  <si>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</si>
  <si>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</si>
  <si>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</si>
  <si>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</si>
  <si>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</si>
  <si>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</si>
  <si>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</si>
  <si>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</si>
  <si>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</si>
  <si>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</si>
  <si>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</si>
  <si>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</si>
  <si>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</si>
  <si>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</si>
  <si>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</si>
  <si>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</si>
  <si>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</si>
  <si>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</si>
  <si>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</si>
  <si>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</si>
  <si>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</si>
  <si>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</si>
  <si>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</si>
  <si>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</si>
  <si>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</si>
  <si>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</si>
  <si>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</si>
  <si>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</si>
  <si>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</si>
  <si>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</si>
  <si>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</si>
  <si>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</si>
  <si>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</si>
  <si>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</si>
  <si>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</si>
  <si>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</si>
  <si>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</si>
  <si>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</si>
  <si>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</si>
  <si>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</si>
  <si>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</si>
  <si>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</si>
  <si>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</si>
  <si>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</si>
  <si>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</si>
  <si>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</si>
  <si>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</si>
  <si>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</si>
  <si>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</si>
  <si>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</si>
  <si>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</si>
  <si>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</si>
  <si>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</si>
  <si>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</si>
  <si>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</si>
  <si>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</si>
  <si>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</si>
  <si>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</si>
  <si>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</si>
  <si>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</si>
  <si>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</si>
  <si>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</si>
  <si>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</si>
  <si>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</si>
  <si>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</si>
  <si>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</si>
  <si>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</si>
  <si>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</si>
  <si>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</si>
  <si>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</si>
  <si>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</si>
  <si>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</si>
  <si>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</si>
  <si>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</si>
  <si>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</si>
  <si>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</si>
  <si>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</si>
  <si>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</si>
  <si>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</si>
  <si>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</si>
  <si>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</si>
  <si>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</si>
  <si>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</si>
  <si>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</si>
  <si>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</si>
  <si>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</si>
  <si>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</si>
  <si>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</si>
  <si>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</si>
  <si>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</si>
  <si>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</si>
  <si>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</si>
  <si>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</si>
  <si>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</si>
  <si>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</si>
  <si>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</si>
  <si>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</si>
  <si>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</si>
  <si>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</si>
  <si>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</si>
  <si>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</si>
  <si>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</si>
  <si>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</si>
  <si>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</si>
  <si>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</si>
  <si>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</si>
  <si>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</si>
  <si>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</si>
  <si>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</si>
  <si>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</si>
  <si>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</si>
  <si>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</si>
  <si>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</si>
  <si>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</si>
  <si>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</si>
  <si>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</si>
  <si>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</si>
  <si>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</si>
  <si>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</si>
  <si>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</si>
  <si>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</si>
  <si>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</si>
  <si>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</si>
  <si>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</si>
  <si>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</si>
  <si>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</si>
  <si>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</si>
  <si>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</si>
  <si>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</si>
  <si>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</si>
  <si>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</si>
  <si>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</si>
  <si>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</si>
  <si>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</si>
  <si>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</si>
  <si>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</si>
  <si>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</si>
  <si>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</si>
  <si>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</si>
  <si>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</si>
  <si>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</si>
  <si>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</si>
  <si>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</si>
  <si>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</si>
  <si>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</si>
  <si>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</si>
  <si>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</si>
  <si>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</si>
  <si>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</si>
  <si>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</si>
  <si>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</si>
  <si>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</si>
  <si>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</si>
  <si>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</si>
  <si>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</si>
  <si>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</si>
  <si>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</si>
  <si>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</si>
  <si>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</si>
  <si>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</si>
  <si>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</si>
  <si>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</si>
  <si>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</si>
  <si>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</si>
  <si>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</si>
  <si>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</si>
  <si>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</si>
  <si>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</si>
  <si>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</si>
  <si>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</si>
  <si>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</si>
  <si>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</si>
  <si>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</si>
  <si>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</si>
  <si>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</si>
  <si>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</si>
  <si>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</si>
  <si>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</si>
  <si>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</si>
  <si>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</si>
  <si>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</si>
  <si>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</si>
  <si>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</si>
  <si>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</si>
  <si>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</si>
  <si>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</si>
  <si>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</si>
  <si>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</si>
  <si>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</si>
  <si>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</si>
  <si>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</si>
  <si>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</si>
  <si>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</si>
  <si>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</si>
  <si>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</si>
  <si>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</si>
  <si>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</si>
  <si>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</si>
  <si>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</si>
  <si>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</si>
  <si>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</si>
  <si>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</si>
  <si>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</si>
  <si>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</si>
  <si>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</si>
  <si>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</si>
  <si>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</si>
  <si>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</si>
  <si>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</si>
  <si>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</si>
  <si>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</si>
  <si>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</si>
  <si>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</si>
  <si>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</si>
  <si>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</si>
  <si>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</si>
  <si>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</si>
  <si>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</si>
  <si>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</si>
  <si>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</si>
  <si>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</si>
  <si>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</si>
  <si>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</si>
  <si>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</si>
  <si>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</si>
  <si>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</si>
  <si>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</si>
  <si>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</si>
  <si>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</si>
  <si>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</si>
  <si>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</si>
  <si>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</si>
  <si>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</si>
  <si>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</si>
  <si>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</si>
  <si>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</si>
  <si>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</si>
  <si>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</si>
  <si>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</si>
  <si>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</si>
  <si>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</si>
  <si>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</si>
  <si>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</si>
  <si>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</si>
  <si>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</si>
  <si>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</si>
  <si>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</si>
  <si>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</si>
  <si>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</si>
  <si>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</si>
  <si>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</si>
  <si>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</si>
  <si>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</si>
  <si>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</si>
  <si>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</si>
  <si>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</si>
  <si>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</si>
  <si>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</si>
  <si>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</si>
  <si>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</si>
  <si>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</si>
  <si>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</si>
  <si>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</si>
  <si>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</si>
  <si>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</si>
  <si>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</si>
  <si>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</si>
  <si>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</si>
  <si>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</si>
  <si>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</si>
  <si>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</si>
  <si>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</si>
  <si>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</si>
  <si>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</si>
  <si>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</si>
  <si>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</si>
  <si>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</si>
  <si>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</si>
  <si>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</si>
  <si>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</si>
  <si>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</si>
  <si>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</si>
  <si>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</si>
  <si>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</si>
  <si>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</si>
  <si>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</si>
  <si>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</si>
  <si>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</si>
  <si>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</si>
  <si>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</si>
  <si>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</si>
  <si>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</si>
  <si>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</si>
  <si>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</si>
  <si>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</si>
  <si>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</si>
  <si>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</si>
  <si>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</si>
  <si>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</si>
  <si>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</si>
  <si>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</si>
  <si>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</si>
  <si>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</si>
  <si>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</si>
  <si>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</si>
  <si>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</si>
  <si>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</si>
  <si>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</si>
  <si>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</si>
  <si>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</si>
  <si>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</si>
  <si>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</si>
  <si>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</si>
  <si>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</si>
  <si>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</si>
  <si>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</si>
  <si>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</si>
  <si>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</si>
  <si>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</si>
  <si>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</si>
  <si>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</si>
  <si>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</si>
  <si>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</si>
  <si>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</si>
  <si>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</si>
  <si>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</si>
  <si>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</si>
  <si>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</si>
  <si>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</si>
  <si>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</si>
  <si>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</si>
  <si>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</si>
  <si>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</si>
  <si>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</si>
  <si>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</si>
  <si>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</si>
  <si>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</si>
  <si>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</si>
  <si>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</si>
  <si>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</si>
  <si>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</si>
  <si>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</si>
  <si>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</si>
  <si>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</si>
  <si>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</si>
  <si>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</si>
  <si>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</si>
  <si>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</si>
  <si>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</si>
  <si>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</si>
  <si>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</si>
  <si>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</si>
  <si>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</si>
  <si>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</si>
  <si>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</si>
  <si>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</si>
  <si>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</si>
  <si>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</si>
  <si>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</si>
  <si>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</si>
  <si>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</si>
  <si>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</si>
  <si>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</si>
  <si>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</si>
  <si>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</si>
  <si>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</si>
  <si>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</si>
  <si>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</si>
  <si>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</si>
  <si>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</si>
  <si>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</si>
  <si>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</si>
  <si>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</si>
  <si>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</si>
  <si>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</si>
  <si>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</si>
  <si>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</si>
  <si>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</si>
  <si>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</si>
  <si>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</si>
  <si>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</si>
  <si>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</si>
  <si>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</si>
  <si>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</si>
  <si>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</si>
  <si>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</si>
  <si>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</si>
  <si>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</si>
  <si>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</si>
  <si>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</si>
  <si>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</si>
  <si>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</si>
  <si>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</si>
  <si>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</si>
  <si>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</si>
  <si>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</si>
  <si>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</si>
  <si>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</si>
  <si>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</si>
  <si>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</si>
  <si>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</si>
  <si>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</si>
  <si>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</si>
  <si>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</si>
  <si>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</si>
  <si>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</si>
  <si>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</si>
  <si>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</si>
  <si>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</si>
  <si>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</si>
  <si>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</si>
  <si>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</si>
  <si>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</si>
  <si>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</si>
  <si>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</si>
  <si>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</si>
  <si>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</si>
  <si>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</si>
  <si>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</si>
  <si>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</si>
  <si>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</si>
  <si>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</si>
  <si>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</si>
  <si>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</si>
  <si>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</si>
  <si>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</si>
  <si>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</si>
  <si>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</si>
  <si>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</si>
  <si>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</si>
  <si>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</si>
  <si>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</si>
  <si>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</si>
  <si>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</si>
  <si>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</si>
  <si>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</si>
  <si>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</si>
  <si>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</si>
  <si>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</si>
  <si>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</si>
  <si>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</si>
  <si>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</si>
  <si>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</si>
  <si>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</si>
  <si>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</si>
  <si>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</si>
  <si>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</si>
  <si>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</si>
  <si>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</si>
  <si>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</si>
  <si>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</si>
  <si>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</si>
  <si>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</si>
  <si>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</si>
  <si>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</si>
  <si>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</si>
  <si>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</si>
  <si>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</si>
  <si>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</si>
  <si>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</si>
  <si>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</si>
  <si>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</si>
  <si>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</si>
  <si>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</si>
  <si>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</si>
  <si>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</si>
  <si>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</si>
  <si>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</si>
  <si>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</si>
  <si>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</si>
  <si>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</si>
  <si>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</si>
  <si>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</si>
  <si>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</si>
  <si>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</si>
  <si>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</si>
  <si>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</si>
  <si>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</si>
  <si>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</si>
  <si>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</si>
  <si>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</si>
  <si>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</si>
  <si>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</si>
  <si>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</si>
  <si>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</si>
  <si>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</si>
  <si>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</si>
  <si>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</si>
  <si>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</si>
  <si>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</si>
  <si>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</si>
  <si>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</si>
  <si>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</si>
  <si>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</si>
  <si>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</si>
  <si>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</si>
  <si>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</si>
  <si>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</si>
  <si>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</si>
  <si>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</si>
  <si>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</si>
  <si>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</si>
  <si>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</si>
  <si>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</si>
  <si>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</si>
  <si>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</si>
  <si>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</si>
  <si>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</si>
  <si>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</si>
  <si>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</si>
  <si>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</si>
  <si>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</si>
  <si>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</si>
  <si>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</si>
  <si>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</si>
  <si>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</si>
  <si>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</si>
  <si>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</si>
  <si>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</si>
  <si>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</si>
  <si>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</si>
  <si>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</si>
  <si>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</si>
  <si>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</si>
  <si>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</si>
  <si>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</si>
  <si>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</si>
  <si>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</si>
  <si>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</si>
  <si>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</si>
  <si>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</si>
  <si>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</si>
  <si>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</si>
  <si>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</si>
  <si>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</si>
  <si>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</si>
  <si>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</si>
  <si>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</si>
  <si>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</si>
  <si>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</si>
  <si>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</si>
  <si>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</si>
  <si>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</si>
  <si>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</si>
  <si>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</si>
  <si>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</si>
  <si>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</si>
  <si>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</si>
  <si>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</si>
  <si>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</si>
  <si>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</si>
  <si>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</si>
  <si>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</si>
  <si>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</si>
  <si>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</si>
  <si>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</si>
  <si>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</si>
  <si>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</si>
  <si>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</si>
  <si>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</si>
  <si>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</si>
  <si>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</si>
  <si>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</si>
  <si>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</si>
  <si>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</si>
  <si>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</si>
  <si>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</si>
  <si>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</si>
  <si>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</si>
  <si>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</si>
  <si>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</si>
  <si>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</si>
  <si>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</si>
  <si>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</si>
  <si>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</si>
  <si>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</si>
  <si>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</si>
  <si>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</si>
  <si>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</si>
  <si>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</si>
  <si>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</si>
  <si>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</si>
  <si>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</si>
  <si>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</si>
  <si>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</si>
  <si>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</si>
  <si>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</si>
  <si>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</si>
  <si>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</si>
  <si>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</si>
  <si>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</si>
  <si>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</si>
  <si>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</si>
  <si>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</si>
  <si>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</si>
  <si>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</si>
  <si>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</si>
  <si>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</si>
  <si>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</si>
  <si>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</si>
  <si>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</si>
  <si>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</si>
  <si>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</si>
  <si>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</si>
  <si>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</si>
  <si>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</si>
  <si>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</si>
  <si>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</si>
  <si>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</si>
  <si>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</si>
  <si>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</si>
  <si>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</si>
  <si>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</si>
  <si>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</si>
  <si>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</si>
  <si>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</si>
  <si>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</si>
  <si>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</si>
  <si>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</si>
  <si>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</si>
  <si>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</si>
  <si>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</si>
  <si>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</si>
  <si>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</si>
  <si>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</si>
  <si>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</si>
  <si>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</si>
  <si>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</si>
  <si>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</si>
  <si>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</si>
  <si>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</si>
  <si>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</si>
  <si>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</si>
  <si>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</si>
  <si>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</si>
  <si>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</si>
  <si>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</si>
  <si>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</si>
  <si>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</si>
  <si>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</si>
  <si>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</si>
  <si>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</si>
  <si>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</si>
  <si>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</si>
  <si>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</si>
  <si>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</si>
  <si>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</si>
  <si>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</si>
  <si>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</si>
  <si>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</si>
  <si>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</si>
  <si>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</si>
  <si>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</si>
  <si>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</si>
  <si>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</si>
  <si>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</si>
  <si>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</si>
  <si>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</si>
  <si>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</si>
  <si>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</si>
  <si>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</si>
  <si>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</si>
  <si>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</si>
  <si>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</si>
  <si>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</si>
  <si>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</si>
  <si>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</si>
  <si>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</si>
  <si>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</si>
  <si>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</si>
  <si>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</si>
  <si>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</si>
  <si>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</si>
  <si>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</si>
  <si>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</si>
  <si>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</si>
  <si>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</si>
  <si>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</si>
  <si>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</si>
  <si>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</si>
  <si>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</si>
  <si>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</si>
  <si>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</si>
  <si>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</si>
  <si>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</si>
  <si>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</si>
  <si>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</si>
  <si>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</si>
  <si>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</si>
  <si>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</si>
  <si>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</si>
  <si>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</si>
  <si>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</si>
  <si>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</si>
  <si>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</si>
  <si>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</si>
  <si>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</si>
  <si>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</si>
  <si>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</si>
  <si>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</si>
  <si>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</si>
  <si>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</si>
  <si>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</si>
  <si>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</si>
  <si>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</si>
  <si>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</si>
  <si>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</si>
  <si>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</si>
  <si>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</si>
  <si>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</si>
  <si>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</si>
  <si>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</si>
  <si>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</si>
  <si>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</si>
  <si>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</si>
  <si>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</si>
  <si>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</si>
  <si>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</si>
  <si>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</si>
  <si>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</si>
  <si>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</si>
  <si>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</si>
  <si>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</si>
  <si>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</si>
  <si>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</si>
  <si>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</si>
  <si>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</si>
  <si>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</si>
  <si>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</si>
  <si>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</si>
  <si>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</si>
  <si>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</si>
  <si>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</si>
  <si>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</si>
  <si>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</si>
  <si>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</si>
  <si>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</si>
  <si>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</si>
  <si>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</si>
  <si>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</si>
  <si>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</si>
  <si>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</si>
  <si>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</si>
  <si>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</si>
  <si>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</si>
  <si>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</si>
  <si>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</si>
  <si>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</si>
  <si>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</si>
  <si>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</si>
  <si>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</si>
  <si>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</si>
  <si>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</si>
  <si>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</si>
  <si>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</si>
  <si>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</si>
  <si>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</si>
  <si>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</si>
  <si>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</si>
  <si>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</si>
  <si>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</si>
  <si>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</si>
  <si>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</si>
  <si>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</si>
  <si>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</si>
  <si>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</si>
  <si>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</si>
  <si>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</si>
  <si>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</si>
  <si>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</si>
  <si>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</si>
  <si>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</si>
  <si>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</si>
  <si>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</si>
  <si>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</si>
  <si>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</si>
  <si>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</si>
  <si>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</si>
  <si>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</si>
  <si>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</si>
  <si>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</si>
  <si>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</si>
  <si>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</si>
  <si>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</si>
  <si>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</si>
  <si>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</si>
  <si>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</si>
  <si>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</si>
  <si>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</si>
  <si>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</si>
  <si>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</si>
  <si>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</si>
  <si>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</si>
  <si>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</si>
  <si>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</si>
  <si>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</si>
  <si>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</si>
  <si>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</si>
  <si>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</si>
  <si>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</si>
  <si>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</si>
  <si>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</si>
  <si>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</si>
  <si>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</si>
  <si>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</si>
  <si>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</si>
  <si>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</si>
  <si>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</si>
  <si>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</si>
  <si>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</si>
  <si>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</si>
  <si>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</si>
  <si>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</si>
  <si>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</si>
  <si>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</si>
  <si>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</si>
  <si>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</si>
  <si>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</si>
  <si>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</si>
  <si>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</si>
  <si>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</si>
  <si>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</si>
  <si>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</si>
  <si>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</si>
  <si>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</si>
  <si>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</si>
  <si>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</si>
  <si>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</si>
  <si>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</si>
  <si>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</si>
  <si>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</si>
  <si>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</si>
  <si>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</si>
  <si>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</si>
  <si>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</si>
  <si>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</si>
  <si>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</si>
  <si>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</si>
  <si>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</si>
  <si>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</si>
  <si>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</si>
  <si>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</si>
  <si>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</si>
  <si>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</si>
  <si>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</si>
  <si>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</si>
  <si>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</si>
  <si>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</si>
  <si>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</si>
  <si>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</si>
  <si>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</si>
  <si>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</si>
  <si>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</si>
  <si>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</si>
  <si>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</si>
  <si>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</si>
  <si>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</si>
  <si>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</si>
  <si>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</si>
  <si>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</si>
  <si>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</si>
  <si>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</si>
  <si>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</si>
  <si>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</si>
  <si>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</si>
  <si>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</si>
  <si>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</si>
  <si>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</si>
  <si>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</si>
  <si>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</si>
  <si>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</si>
  <si>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</si>
  <si>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</si>
  <si>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</si>
  <si>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</si>
  <si>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</si>
  <si>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</si>
  <si>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</si>
  <si>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</si>
  <si>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</si>
  <si>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</si>
  <si>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</si>
  <si>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</si>
  <si>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</si>
  <si>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</si>
  <si>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</si>
  <si>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</si>
  <si>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</si>
  <si>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</si>
  <si>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</si>
  <si>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</si>
  <si>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</si>
  <si>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</si>
  <si>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</si>
  <si>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</si>
  <si>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</si>
  <si>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</si>
  <si>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</si>
  <si>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</si>
  <si>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</si>
  <si>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</si>
  <si>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</si>
  <si>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</si>
  <si>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</si>
  <si>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</si>
  <si>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</si>
  <si>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</si>
  <si>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</si>
  <si>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</si>
  <si>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</si>
  <si>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</si>
  <si>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</si>
  <si>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</si>
  <si>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</si>
  <si>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</si>
  <si>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</si>
  <si>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</si>
  <si>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</si>
  <si>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</si>
  <si>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</si>
  <si>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</si>
  <si>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</si>
  <si>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</si>
  <si>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</si>
  <si>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</si>
  <si>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</si>
  <si>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</si>
  <si>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</si>
  <si>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</si>
  <si>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</si>
  <si>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</si>
  <si>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</si>
  <si>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</si>
  <si>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</si>
  <si>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</si>
  <si>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</si>
  <si>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</si>
  <si>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</si>
  <si>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</si>
  <si>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</si>
  <si>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</si>
  <si>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</si>
  <si>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</si>
  <si>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</si>
  <si>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</si>
  <si>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</si>
  <si>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</si>
  <si>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</si>
  <si>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</si>
  <si>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</si>
  <si>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</si>
  <si>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</si>
  <si>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</si>
  <si>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</si>
  <si>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</si>
  <si>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</si>
  <si>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</si>
  <si>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</si>
  <si>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</si>
  <si>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</si>
  <si>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</si>
  <si>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</si>
  <si>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</si>
  <si>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</si>
  <si>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</si>
  <si>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</si>
  <si>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</si>
  <si>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</si>
  <si>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</si>
  <si>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</si>
  <si>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</si>
  <si>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</si>
  <si>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</si>
  <si>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</si>
  <si>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</si>
  <si>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</si>
  <si>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</si>
  <si>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</si>
  <si>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</si>
  <si>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</si>
  <si>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</si>
  <si>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</si>
  <si>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</si>
  <si>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</si>
  <si>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</si>
  <si>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</si>
  <si>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</si>
  <si>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</si>
  <si>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</si>
  <si>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</si>
  <si>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</si>
  <si>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</si>
  <si>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</si>
  <si>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</si>
  <si>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</si>
  <si>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</si>
  <si>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</si>
  <si>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</si>
  <si>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</si>
  <si>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</si>
  <si>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</si>
  <si>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</si>
  <si>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</si>
  <si>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</si>
  <si>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</si>
  <si>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</si>
  <si>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</si>
  <si>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</si>
  <si>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</si>
  <si>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</si>
  <si>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</si>
  <si>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</si>
  <si>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</si>
  <si>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</si>
  <si>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</si>
  <si>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</si>
  <si>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</si>
  <si>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</si>
  <si>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</si>
  <si>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</si>
  <si>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</si>
  <si>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</si>
  <si>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</si>
  <si>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</si>
  <si>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</si>
  <si>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</si>
  <si>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</si>
  <si>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</si>
  <si>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</si>
  <si>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</si>
  <si>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</si>
  <si>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</si>
  <si>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</si>
  <si>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</si>
  <si>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</si>
  <si>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</si>
  <si>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</si>
  <si>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</si>
  <si>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</si>
  <si>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</si>
  <si>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</si>
  <si>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</si>
  <si>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</si>
  <si>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</si>
  <si>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</si>
  <si>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</si>
  <si>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</si>
  <si>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</si>
  <si>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</si>
  <si>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</si>
  <si>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</si>
  <si>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</si>
  <si>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</si>
  <si>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</si>
  <si>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</si>
  <si>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</si>
  <si>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</si>
  <si>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</si>
  <si>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</si>
  <si>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</si>
  <si>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</si>
  <si>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</si>
  <si>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</si>
  <si>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</si>
  <si>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</si>
  <si>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</si>
  <si>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</si>
  <si>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</si>
  <si>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</si>
  <si>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</si>
  <si>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</si>
  <si>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</si>
  <si>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</si>
  <si>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</si>
  <si>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</si>
  <si>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</si>
  <si>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</si>
  <si>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</si>
  <si>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</si>
  <si>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</si>
  <si>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</si>
  <si>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</si>
  <si>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</si>
  <si>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</si>
  <si>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</si>
  <si>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</si>
  <si>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</si>
  <si>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</si>
  <si>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</si>
  <si>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</si>
  <si>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</si>
  <si>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</si>
  <si>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</si>
  <si>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</si>
  <si>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</si>
  <si>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</si>
  <si>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</si>
  <si>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</si>
  <si>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</si>
  <si>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</si>
  <si>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</si>
  <si>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</si>
  <si>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</si>
  <si>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</si>
  <si>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</si>
  <si>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</si>
  <si>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</si>
  <si>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</si>
  <si>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</si>
  <si>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</si>
  <si>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</si>
  <si>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</si>
  <si>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</si>
  <si>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</si>
  <si>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</si>
  <si>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</si>
  <si>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</si>
  <si>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</si>
  <si>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</si>
  <si>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</si>
  <si>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</si>
  <si>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</si>
  <si>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</si>
  <si>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</si>
  <si>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</si>
  <si>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</si>
  <si>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</si>
  <si>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</si>
  <si>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</si>
  <si>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</si>
  <si>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</si>
  <si>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</si>
  <si>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</si>
  <si>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</si>
  <si>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</si>
  <si>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</si>
  <si>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</si>
  <si>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</si>
  <si>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</si>
  <si>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</si>
  <si>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</si>
  <si>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</si>
  <si>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</si>
  <si>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</si>
  <si>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</si>
  <si>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</si>
  <si>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</si>
  <si>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</si>
  <si>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</si>
  <si>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</si>
  <si>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</si>
  <si>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</si>
  <si>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</si>
  <si>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</si>
  <si>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</si>
  <si>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</si>
  <si>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</si>
  <si>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</si>
  <si>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</si>
  <si>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</si>
  <si>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</si>
  <si>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</si>
  <si>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</si>
  <si>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</si>
  <si>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</si>
  <si>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</si>
  <si>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</si>
  <si>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</si>
  <si>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</si>
  <si>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</si>
  <si>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</si>
  <si>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</si>
  <si>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</si>
  <si>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</si>
  <si>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</si>
  <si>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</si>
  <si>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</si>
  <si>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</si>
  <si>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</si>
  <si>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</si>
  <si>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</si>
  <si>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</si>
  <si>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</si>
  <si>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</si>
  <si>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</si>
  <si>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</si>
  <si>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</si>
  <si>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</si>
  <si>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</si>
  <si>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</si>
  <si>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</si>
  <si>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</si>
  <si>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</si>
  <si>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</si>
  <si>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</si>
  <si>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</si>
  <si>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</si>
  <si>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</si>
  <si>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</si>
  <si>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</si>
  <si>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</si>
  <si>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</si>
  <si>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</si>
  <si>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</si>
  <si>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</si>
  <si>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</si>
  <si>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</si>
  <si>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</si>
  <si>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</si>
  <si>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</si>
  <si>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</si>
  <si>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</si>
  <si>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</si>
  <si>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</si>
  <si>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</si>
  <si>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</si>
  <si>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</si>
  <si>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</si>
  <si>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</si>
  <si>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</si>
  <si>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</si>
  <si>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</si>
  <si>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</si>
  <si>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</si>
  <si>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</si>
  <si>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</si>
  <si>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</si>
  <si>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</si>
  <si>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</si>
  <si>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</si>
  <si>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</si>
  <si>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</si>
  <si>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</si>
  <si>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</si>
  <si>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</si>
  <si>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</si>
  <si>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</si>
  <si>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</si>
  <si>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</si>
  <si>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</si>
  <si>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</si>
  <si>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</si>
  <si>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</si>
  <si>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</si>
  <si>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</si>
  <si>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</si>
  <si>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</si>
  <si>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</si>
  <si>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</si>
  <si>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</si>
  <si>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</si>
  <si>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</si>
  <si>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</si>
  <si>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</si>
  <si>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</si>
  <si>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</si>
  <si>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</si>
  <si>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</si>
  <si>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</si>
  <si>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</si>
  <si>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</si>
  <si>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</si>
  <si>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</si>
  <si>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</si>
  <si>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</si>
  <si>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</si>
  <si>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</si>
  <si>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</si>
  <si>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</si>
  <si>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</si>
  <si>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</si>
  <si>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</si>
  <si>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</si>
  <si>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</si>
  <si>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</si>
  <si>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</si>
  <si>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</si>
  <si>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</si>
  <si>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</si>
  <si>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</si>
  <si>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</si>
  <si>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</si>
  <si>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</si>
  <si>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</si>
  <si>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</si>
  <si>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</si>
  <si>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</si>
  <si>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</si>
  <si>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</si>
  <si>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</si>
  <si>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</si>
  <si>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</si>
  <si>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</si>
  <si>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</si>
  <si>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</si>
  <si>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</si>
  <si>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</si>
  <si>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</si>
  <si>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</si>
  <si>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</si>
  <si>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</si>
  <si>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</si>
  <si>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</si>
  <si>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</si>
  <si>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</si>
  <si>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</si>
  <si>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</si>
  <si>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</si>
  <si>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</si>
  <si>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</si>
  <si>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</si>
  <si>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</si>
  <si>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</si>
  <si>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</si>
  <si>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</si>
  <si>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</si>
  <si>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</si>
  <si>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</si>
  <si>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</si>
  <si>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</si>
  <si>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</si>
  <si>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</si>
  <si>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</si>
  <si>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</si>
  <si>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</si>
  <si>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</si>
  <si>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</si>
  <si>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</si>
  <si>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</si>
  <si>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</si>
  <si>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</si>
  <si>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</si>
  <si>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</si>
  <si>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</si>
  <si>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</si>
  <si>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</si>
  <si>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</si>
  <si>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</si>
  <si>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</si>
  <si>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</si>
  <si>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</si>
  <si>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</si>
  <si>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</si>
  <si>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</si>
  <si>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</si>
  <si>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</si>
  <si>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</si>
  <si>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</si>
  <si>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</si>
  <si>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</si>
  <si>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</si>
  <si>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</si>
  <si>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</si>
  <si>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</si>
  <si>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</si>
  <si>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</si>
  <si>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</si>
  <si>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</si>
  <si>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</si>
  <si>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</si>
  <si>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</si>
  <si>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</si>
  <si>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</si>
  <si>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</si>
  <si>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</si>
  <si>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</si>
  <si>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</si>
  <si>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</si>
  <si>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</si>
  <si>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</si>
  <si>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</si>
  <si>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</si>
  <si>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</si>
  <si>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</si>
  <si>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</si>
  <si>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</si>
  <si>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</si>
  <si>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</si>
  <si>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</si>
  <si>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</si>
  <si>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</si>
  <si>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</si>
  <si>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</si>
  <si>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</si>
  <si>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</si>
  <si>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</si>
  <si>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</si>
  <si>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</si>
  <si>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</si>
  <si>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</si>
  <si>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</si>
  <si>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</si>
  <si>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</si>
  <si>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</si>
  <si>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</si>
  <si>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</si>
  <si>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</si>
  <si>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</si>
  <si>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</si>
  <si>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</si>
  <si>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</si>
  <si>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</si>
  <si>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</si>
  <si>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</si>
  <si>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</si>
  <si>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</si>
  <si>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</si>
  <si>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</si>
  <si>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</si>
  <si>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</si>
  <si>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</si>
  <si>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</si>
  <si>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</si>
  <si>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</si>
  <si>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</si>
  <si>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</si>
  <si>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</si>
  <si>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</si>
  <si>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</si>
  <si>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</si>
  <si>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</si>
  <si>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</si>
  <si>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</si>
  <si>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</si>
  <si>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</si>
  <si>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</si>
  <si>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</si>
  <si>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</si>
  <si>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</si>
  <si>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</si>
  <si>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</si>
  <si>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</si>
  <si>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</si>
  <si>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</si>
  <si>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</si>
  <si>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</si>
  <si>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</si>
  <si>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</si>
  <si>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</si>
  <si>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</si>
  <si>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</si>
  <si>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</si>
  <si>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</si>
  <si>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</si>
  <si>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</si>
  <si>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</si>
  <si>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</si>
  <si>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</si>
  <si>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</si>
  <si>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</si>
  <si>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</si>
  <si>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</si>
  <si>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</si>
  <si>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</si>
  <si>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</si>
  <si>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</si>
  <si>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</si>
  <si>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</si>
  <si>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</si>
  <si>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</si>
  <si>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</si>
  <si>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</si>
  <si>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</si>
  <si>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</si>
  <si>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</si>
  <si>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</si>
  <si>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</si>
  <si>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</si>
  <si>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</si>
  <si>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</si>
  <si>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</si>
  <si>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</si>
  <si>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</si>
  <si>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</si>
  <si>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</si>
  <si>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</si>
  <si>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</si>
  <si>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</si>
  <si>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</si>
  <si>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</si>
  <si>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</si>
  <si>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</si>
  <si>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</si>
  <si>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</si>
  <si>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</si>
  <si>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</si>
  <si>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</si>
  <si>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</si>
  <si>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</si>
  <si>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</si>
  <si>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</si>
  <si>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</si>
  <si>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</si>
  <si>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</si>
  <si>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</si>
  <si>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</si>
  <si>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</si>
  <si>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</si>
  <si>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</si>
  <si>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</si>
  <si>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</si>
  <si>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</si>
  <si>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</si>
  <si>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</si>
  <si>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</si>
  <si>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</si>
  <si>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</si>
  <si>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</si>
  <si>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</si>
  <si>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</si>
  <si>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</si>
  <si>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</si>
  <si>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</si>
  <si>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</si>
  <si>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</si>
  <si>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</si>
  <si>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</si>
  <si>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</si>
  <si>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</si>
  <si>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</si>
  <si>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</si>
  <si>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</si>
  <si>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</si>
  <si>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</si>
  <si>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</si>
  <si>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</si>
  <si>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</si>
  <si>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</si>
  <si>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</si>
  <si>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</si>
  <si>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</si>
  <si>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</si>
  <si>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</si>
  <si>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</si>
  <si>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</si>
  <si>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</si>
  <si>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</si>
  <si>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</si>
  <si>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</si>
  <si>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</si>
  <si>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</si>
  <si>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</si>
  <si>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</si>
  <si>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</si>
  <si>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</si>
  <si>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</si>
  <si>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</si>
  <si>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</si>
  <si>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</si>
  <si>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</si>
  <si>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</si>
  <si>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</si>
  <si>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</si>
  <si>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</si>
  <si>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</si>
  <si>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</si>
  <si>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</si>
  <si>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</si>
  <si>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</si>
  <si>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</si>
  <si>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</si>
  <si>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</si>
  <si>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</si>
  <si>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</si>
  <si>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</si>
  <si>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</si>
  <si>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</si>
  <si>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</si>
  <si>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</si>
  <si>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</si>
  <si>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</si>
  <si>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</si>
  <si>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</si>
  <si>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</si>
  <si>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</si>
  <si>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</si>
  <si>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</si>
  <si>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</si>
  <si>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</si>
  <si>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</si>
  <si>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</si>
  <si>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</si>
  <si>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</si>
  <si>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</si>
  <si>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</si>
  <si>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</si>
  <si>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</si>
  <si>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</si>
  <si>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</si>
  <si>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</si>
  <si>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</si>
  <si>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</si>
  <si>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</si>
  <si>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</si>
  <si>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</si>
  <si>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</si>
  <si>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</si>
  <si>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</si>
  <si>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</si>
  <si>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</si>
  <si>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</si>
  <si>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</si>
  <si>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</si>
  <si>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</si>
  <si>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</si>
  <si>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</si>
  <si>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</si>
  <si>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</si>
  <si>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</si>
  <si>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</si>
  <si>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</si>
  <si>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</si>
  <si>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</si>
  <si>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</si>
  <si>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</si>
  <si>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</si>
  <si>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</si>
  <si>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</si>
  <si>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</si>
  <si>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</si>
  <si>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</si>
  <si>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</si>
  <si>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</si>
  <si>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</si>
  <si>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</si>
  <si>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</si>
  <si>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</si>
  <si>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</si>
  <si>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</si>
  <si>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</si>
  <si>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</si>
  <si>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</si>
  <si>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</si>
  <si>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</si>
  <si>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</si>
  <si>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</si>
  <si>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</si>
  <si>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</si>
  <si>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</si>
  <si>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</si>
  <si>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</si>
  <si>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</si>
  <si>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</si>
  <si>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</si>
  <si>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</si>
  <si>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</si>
  <si>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</si>
  <si>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</si>
  <si>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</si>
  <si>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</si>
  <si>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</si>
  <si>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</si>
  <si>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</si>
  <si>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</si>
  <si>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</si>
  <si>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</si>
  <si>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</si>
  <si>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</si>
  <si>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</si>
  <si>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</si>
  <si>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</si>
  <si>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</si>
  <si>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</si>
  <si>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</si>
  <si>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</si>
  <si>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</si>
  <si>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</si>
  <si>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</si>
  <si>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</si>
  <si>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</si>
  <si>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</si>
  <si>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</si>
  <si>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</si>
  <si>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</si>
  <si>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</si>
  <si>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</si>
  <si>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</si>
  <si>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</si>
  <si>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</si>
  <si>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</si>
  <si>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</si>
  <si>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</si>
  <si>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</si>
  <si>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</si>
  <si>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</si>
  <si>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</si>
  <si>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</si>
  <si>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</si>
  <si>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</si>
  <si>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</si>
  <si>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</si>
  <si>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</si>
  <si>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</si>
  <si>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</si>
  <si>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</si>
  <si>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</si>
  <si>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</si>
  <si>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</si>
  <si>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</si>
  <si>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</si>
  <si>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</si>
  <si>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</si>
  <si>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</si>
  <si>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</si>
  <si>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</si>
  <si>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</si>
  <si>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</si>
  <si>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</si>
  <si>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</si>
  <si>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</si>
  <si>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</si>
  <si>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</si>
  <si>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</si>
  <si>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</si>
  <si>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</si>
  <si>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</si>
  <si>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</si>
  <si>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</si>
  <si>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</si>
  <si>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</si>
  <si>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</si>
  <si>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</si>
  <si>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</si>
  <si>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</si>
  <si>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</si>
  <si>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</si>
  <si>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</si>
  <si>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</si>
  <si>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</si>
  <si>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</si>
  <si>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</si>
  <si>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</si>
  <si>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</si>
  <si>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</si>
  <si>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</si>
  <si>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</si>
  <si>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</si>
  <si>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</si>
  <si>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</si>
  <si>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</si>
  <si>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</si>
  <si>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</si>
  <si>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</si>
  <si>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</si>
  <si>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</si>
  <si>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</si>
  <si>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</si>
  <si>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</si>
  <si>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</si>
  <si>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</si>
  <si>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</si>
  <si>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</si>
  <si>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</si>
  <si>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</si>
  <si>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</si>
  <si>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</si>
  <si>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</si>
  <si>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</si>
  <si>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</si>
  <si>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</si>
  <si>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</si>
  <si>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</si>
  <si>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</si>
  <si>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</si>
  <si>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</si>
  <si>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</si>
  <si>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</si>
  <si>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</si>
  <si>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</si>
  <si>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</si>
  <si>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</si>
  <si>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</si>
  <si>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</si>
  <si>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</si>
  <si>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</si>
  <si>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</si>
  <si>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</si>
  <si>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</si>
  <si>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</si>
  <si>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</si>
  <si>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</si>
  <si>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</si>
  <si>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</si>
  <si>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</si>
  <si>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</si>
  <si>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</si>
  <si>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</si>
  <si>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</si>
  <si>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</si>
  <si>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</si>
  <si>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</si>
  <si>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</si>
  <si>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</si>
  <si>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</si>
  <si>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</si>
  <si>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</si>
  <si>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</si>
  <si>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</si>
  <si>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</si>
  <si>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</si>
  <si>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</si>
  <si>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</si>
  <si>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</si>
  <si>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</si>
  <si>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</si>
  <si>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</si>
  <si>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</si>
  <si>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</si>
  <si>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</si>
  <si>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</si>
  <si>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</si>
  <si>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</si>
  <si>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</si>
  <si>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</si>
  <si>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</si>
  <si>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</si>
  <si>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</si>
  <si>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</si>
  <si>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</si>
  <si>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</si>
  <si>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</si>
  <si>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</si>
  <si>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</si>
  <si>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</si>
  <si>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</si>
  <si>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</si>
  <si>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</si>
  <si>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</si>
  <si>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</si>
  <si>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</si>
  <si>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</si>
  <si>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</si>
  <si>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</si>
  <si>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</si>
  <si>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</si>
  <si>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</si>
  <si>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</si>
  <si>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</si>
  <si>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</si>
  <si>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</si>
  <si>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</si>
  <si>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</si>
  <si>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</si>
  <si>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</si>
  <si>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</si>
  <si>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</si>
  <si>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</si>
  <si>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</si>
  <si>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</si>
  <si>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</si>
  <si>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</si>
  <si>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</si>
  <si>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</si>
  <si>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</si>
  <si>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</si>
  <si>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</si>
  <si>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</si>
  <si>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</si>
  <si>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</si>
  <si>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</si>
  <si>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</si>
  <si>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</si>
  <si>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</si>
  <si>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</si>
  <si>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</si>
  <si>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</si>
  <si>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</si>
  <si>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</si>
  <si>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</si>
  <si>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</si>
  <si>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</si>
  <si>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</si>
  <si>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</si>
  <si>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</si>
  <si>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</si>
  <si>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</si>
  <si>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</si>
  <si>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</si>
  <si>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</si>
  <si>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</si>
  <si>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</si>
  <si>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</si>
  <si>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</si>
  <si>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</si>
  <si>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</si>
  <si>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</si>
  <si>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</si>
  <si>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</si>
  <si>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</si>
  <si>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</si>
  <si>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</si>
  <si>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</si>
  <si>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</si>
  <si>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</si>
  <si>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</si>
  <si>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</si>
  <si>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</si>
  <si>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</si>
  <si>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</si>
  <si>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</si>
  <si>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</si>
  <si>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</si>
  <si>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</si>
  <si>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</si>
  <si>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</si>
  <si>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</si>
  <si>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</si>
  <si>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</si>
  <si>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</si>
  <si>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</si>
  <si>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</si>
  <si>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</si>
  <si>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</si>
  <si>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</si>
  <si>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</si>
  <si>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</si>
  <si>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</si>
  <si>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</si>
  <si>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</si>
  <si>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</si>
  <si>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</si>
  <si>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</si>
  <si>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</si>
  <si>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</si>
  <si>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</si>
  <si>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</si>
  <si>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</si>
  <si>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</si>
  <si>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</si>
  <si>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</si>
  <si>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</si>
  <si>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</si>
  <si>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</si>
  <si>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</si>
  <si>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</si>
  <si>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</si>
  <si>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</si>
  <si>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</si>
  <si>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</si>
  <si>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</si>
  <si>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</si>
  <si>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</si>
  <si>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</si>
  <si>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</si>
  <si>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</si>
  <si>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</si>
  <si>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</si>
  <si>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</si>
  <si>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</si>
  <si>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</si>
  <si>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</si>
  <si>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</si>
  <si>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</si>
  <si>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</si>
  <si>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</si>
  <si>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</si>
  <si>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</si>
  <si>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</si>
  <si>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</si>
  <si>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</si>
  <si>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</si>
  <si>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</si>
  <si>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</si>
  <si>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</si>
  <si>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</si>
  <si>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</si>
  <si>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</si>
  <si>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</si>
  <si>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</si>
  <si>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</si>
  <si>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</si>
  <si>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</si>
  <si>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</si>
  <si>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</si>
  <si>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</si>
  <si>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</si>
  <si>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</si>
  <si>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</si>
  <si>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</si>
  <si>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</si>
  <si>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</si>
  <si>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</si>
  <si>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</si>
  <si>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</si>
  <si>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</si>
  <si>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</si>
  <si>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</si>
  <si>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</si>
  <si>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</si>
  <si>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</si>
  <si>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</si>
  <si>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</si>
  <si>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</si>
  <si>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</si>
  <si>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</si>
  <si>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</si>
  <si>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</si>
  <si>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</si>
  <si>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</si>
  <si>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</si>
  <si>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</si>
  <si>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</si>
  <si>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</si>
  <si>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</si>
  <si>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</si>
  <si>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</si>
  <si>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</si>
  <si>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</si>
  <si>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</si>
  <si>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</si>
  <si>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</si>
  <si>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</si>
  <si>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</si>
  <si>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</si>
  <si>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</si>
  <si>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</si>
  <si>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</si>
  <si>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</si>
  <si>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</si>
  <si>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</si>
  <si>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</si>
  <si>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</si>
  <si>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</si>
  <si>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</si>
  <si>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</si>
  <si>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</si>
  <si>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</si>
  <si>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</si>
  <si>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</si>
  <si>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</si>
  <si>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</si>
  <si>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</si>
  <si>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</si>
  <si>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</si>
  <si>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</si>
  <si>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</si>
  <si>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</si>
  <si>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</si>
  <si>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</si>
  <si>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</si>
  <si>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</si>
  <si>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</si>
  <si>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</si>
  <si>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</si>
  <si>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</si>
  <si>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</si>
  <si>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</si>
  <si>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</si>
  <si>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</si>
  <si>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</si>
  <si>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</si>
  <si>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</si>
  <si>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</si>
  <si>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</si>
  <si>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</si>
  <si>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</si>
  <si>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</si>
  <si>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</si>
  <si>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</si>
  <si>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</si>
  <si>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</si>
  <si>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</si>
  <si>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</si>
  <si>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</si>
  <si>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</si>
  <si>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</si>
  <si>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</si>
  <si>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</si>
  <si>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</si>
  <si>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</si>
  <si>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</si>
  <si>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</si>
  <si>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</si>
  <si>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</si>
  <si>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</si>
  <si>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</si>
  <si>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</si>
  <si>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</si>
  <si>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</si>
  <si>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</si>
  <si>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</si>
  <si>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</si>
  <si>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</si>
  <si>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</si>
  <si>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</si>
  <si>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</si>
  <si>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</si>
  <si>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</si>
  <si>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</si>
  <si>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</si>
  <si>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</si>
  <si>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</si>
  <si>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</si>
  <si>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</si>
  <si>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</si>
  <si>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</si>
  <si>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</si>
  <si>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</si>
  <si>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</si>
  <si>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</si>
  <si>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</si>
  <si>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</si>
  <si>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</si>
  <si>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</si>
  <si>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</si>
  <si>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</si>
  <si>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</si>
  <si>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</si>
  <si>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</si>
  <si>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</si>
  <si>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</si>
  <si>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</si>
  <si>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</si>
  <si>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</si>
  <si>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</si>
  <si>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</si>
  <si>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</si>
  <si>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</si>
  <si>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</si>
  <si>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</si>
  <si>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</si>
  <si>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</si>
  <si>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</si>
  <si>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</si>
  <si>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</si>
  <si>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</si>
  <si>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</si>
  <si>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</si>
  <si>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</si>
  <si>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</si>
  <si>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</si>
  <si>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</si>
  <si>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</si>
  <si>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</si>
  <si>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</si>
  <si>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</si>
  <si>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</si>
  <si>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</si>
  <si>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</si>
  <si>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</si>
  <si>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</si>
  <si>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</si>
  <si>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</si>
  <si>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</si>
  <si>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</si>
  <si>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</si>
  <si>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</si>
  <si>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</si>
  <si>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</si>
  <si>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</si>
  <si>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</si>
  <si>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</si>
  <si>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</si>
  <si>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</si>
  <si>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</si>
  <si>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</si>
  <si>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</si>
  <si>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</si>
  <si>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</si>
  <si>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</si>
  <si>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</si>
  <si>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</si>
  <si>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</si>
  <si>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</si>
  <si>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</si>
  <si>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</si>
  <si>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</si>
  <si>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</si>
  <si>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</si>
  <si>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</si>
  <si>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</si>
  <si>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</si>
  <si>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</si>
  <si>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</si>
  <si>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</si>
  <si>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</si>
  <si>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</si>
  <si>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</si>
  <si>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</si>
  <si>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</si>
  <si>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</si>
  <si>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</si>
  <si>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</si>
  <si>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</si>
  <si>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</si>
  <si>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</si>
  <si>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</si>
  <si>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</si>
  <si>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</si>
  <si>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</si>
  <si>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</si>
  <si>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</si>
  <si>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</si>
  <si>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</si>
  <si>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</si>
  <si>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</si>
  <si>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</si>
  <si>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</si>
  <si>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</si>
  <si>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</si>
  <si>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</si>
  <si>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</si>
  <si>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</si>
  <si>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</si>
  <si>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</si>
  <si>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</si>
  <si>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</si>
  <si>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</si>
  <si>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</si>
  <si>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</si>
  <si>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</si>
  <si>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</si>
  <si>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</si>
  <si>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</si>
  <si>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</si>
  <si>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</si>
  <si>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</si>
  <si>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</si>
  <si>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</si>
  <si>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</si>
  <si>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</si>
  <si>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</si>
  <si>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</si>
  <si>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</si>
  <si>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</si>
  <si>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</si>
  <si>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</si>
  <si>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</si>
  <si>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</si>
  <si>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</si>
  <si>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</si>
  <si>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</si>
  <si>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</si>
  <si>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</si>
  <si>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</si>
  <si>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</si>
  <si>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</si>
  <si>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</si>
  <si>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</si>
  <si>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</si>
  <si>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</si>
  <si>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</si>
  <si>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</si>
  <si>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</si>
  <si>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</si>
  <si>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</si>
  <si>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</si>
  <si>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</si>
  <si>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</si>
  <si>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</si>
  <si>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</si>
  <si>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</si>
  <si>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</si>
  <si>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</si>
  <si>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</si>
  <si>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</si>
  <si>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</si>
  <si>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</si>
  <si>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</si>
  <si>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</si>
  <si>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</si>
  <si>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</si>
  <si>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</si>
  <si>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</si>
  <si>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</si>
  <si>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</si>
  <si>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</si>
  <si>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</si>
  <si>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</si>
  <si>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</si>
  <si>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</si>
  <si>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</si>
  <si>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</si>
  <si>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</si>
  <si>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</si>
  <si>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</si>
  <si>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</si>
  <si>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</si>
  <si>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</si>
  <si>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</si>
  <si>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</si>
  <si>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</si>
  <si>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</si>
  <si>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</si>
  <si>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</si>
  <si>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</si>
  <si>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</si>
  <si>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</si>
  <si>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</si>
  <si>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</si>
  <si>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</si>
  <si>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</si>
  <si>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</si>
  <si>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</si>
  <si>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</si>
  <si>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</si>
  <si>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</si>
  <si>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</si>
  <si>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</si>
  <si>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</si>
  <si>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</si>
  <si>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</si>
  <si>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</si>
  <si>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</si>
  <si>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</si>
  <si>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</si>
  <si>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</si>
  <si>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</si>
  <si>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</si>
  <si>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</si>
  <si>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</si>
  <si>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</si>
  <si>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</si>
  <si>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</si>
  <si>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</si>
  <si>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</si>
  <si>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</si>
  <si>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</si>
  <si>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</si>
  <si>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</si>
  <si>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</si>
  <si>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</si>
  <si>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</si>
  <si>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</si>
  <si>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</si>
  <si>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</si>
  <si>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</si>
  <si>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</si>
  <si>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</si>
  <si>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</si>
  <si>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</si>
  <si>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</si>
  <si>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</si>
  <si>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</si>
  <si>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</si>
  <si>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</si>
  <si>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</si>
  <si>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</si>
  <si>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</si>
  <si>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</si>
  <si>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</si>
  <si>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</si>
  <si>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</si>
  <si>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</si>
  <si>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</si>
  <si>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</si>
  <si>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</si>
  <si>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</si>
  <si>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</si>
  <si>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</si>
  <si>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</si>
  <si>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</si>
  <si>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</si>
  <si>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</si>
  <si>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</si>
  <si>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</si>
  <si>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</si>
  <si>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</si>
  <si>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</si>
  <si>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</si>
  <si>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</si>
  <si>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</si>
  <si>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</si>
  <si>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</si>
  <si>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</si>
  <si>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</si>
  <si>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</si>
  <si>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</si>
  <si>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</si>
  <si>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</si>
  <si>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</si>
  <si>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</si>
  <si>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</si>
  <si>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</si>
  <si>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</si>
  <si>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</si>
  <si>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</si>
  <si>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</si>
  <si>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</si>
  <si>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</si>
  <si>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</si>
  <si>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</si>
  <si>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</si>
  <si>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</si>
  <si>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</si>
  <si>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</si>
  <si>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</si>
  <si>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</si>
  <si>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</si>
  <si>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</si>
  <si>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</si>
  <si>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</si>
  <si>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</si>
  <si>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</si>
  <si>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</si>
  <si>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</si>
  <si>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</si>
  <si>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</si>
  <si>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</si>
  <si>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</si>
  <si>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</si>
  <si>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</si>
  <si>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</si>
  <si>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</si>
  <si>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</si>
  <si>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</si>
  <si>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</si>
  <si>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</si>
  <si>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</si>
  <si>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</si>
  <si>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The Ridge at Ralston LP</t>
  </si>
  <si>
    <t>The Ridge at Ralston</t>
  </si>
  <si>
    <t>City of Belmont</t>
  </si>
  <si>
    <t>Mr. Craig A. Ewing</t>
  </si>
  <si>
    <t xml:space="preserve">1070 6th Ave. #302 </t>
  </si>
  <si>
    <t>Belmont, CA</t>
  </si>
  <si>
    <t>(650) 637-2908</t>
  </si>
  <si>
    <t>(650) 637-2983</t>
  </si>
  <si>
    <t>Belmont</t>
  </si>
  <si>
    <t>040-313-280</t>
  </si>
  <si>
    <t>40%/60%</t>
  </si>
  <si>
    <t>122 E 42nd Street, Suite 1903</t>
  </si>
  <si>
    <t>New York</t>
  </si>
  <si>
    <t>NY</t>
  </si>
  <si>
    <t>Paul Salib</t>
  </si>
  <si>
    <t>212-776-1914</t>
  </si>
  <si>
    <t>psalib@crpaffordable.com</t>
  </si>
  <si>
    <t>Abode HD 678 Ralston LLC</t>
  </si>
  <si>
    <t>Managing GP</t>
  </si>
  <si>
    <t>40849 Fremont Boulevard</t>
  </si>
  <si>
    <t>Fremont</t>
  </si>
  <si>
    <t>Jonathan White</t>
  </si>
  <si>
    <t>510-415-6049</t>
  </si>
  <si>
    <t>jwhite@abode.org</t>
  </si>
  <si>
    <t>Abode Housing Development</t>
  </si>
  <si>
    <t>The Ridge at Ralston AGP LLC</t>
  </si>
  <si>
    <t>Administrative GP</t>
  </si>
  <si>
    <t>CRP Affordable Housing and Community Development LLC</t>
  </si>
  <si>
    <t>Seth Sterneck</t>
  </si>
  <si>
    <t>646-518-7280</t>
  </si>
  <si>
    <t>ssterneck@crpaffordable.com</t>
  </si>
  <si>
    <t>Developer</t>
  </si>
  <si>
    <t>New York, NY 10168</t>
  </si>
  <si>
    <t>AO Architects</t>
  </si>
  <si>
    <t>144 North Orange Street</t>
  </si>
  <si>
    <t>Orange, CA 92866</t>
  </si>
  <si>
    <t>Ioanna Magiatti</t>
  </si>
  <si>
    <t>(714) 639-9860</t>
  </si>
  <si>
    <t>ioannam@aoarchitects.com</t>
  </si>
  <si>
    <t>Hobson Bernardino + Davis LLP</t>
  </si>
  <si>
    <t>6060 Center Drive, Floor 10</t>
  </si>
  <si>
    <t>Los Angeles, CA 90045</t>
  </si>
  <si>
    <t>Jason Hobson</t>
  </si>
  <si>
    <t>213-235-9191</t>
  </si>
  <si>
    <t>jhobson@hbdlegal.com</t>
  </si>
  <si>
    <t>Ironcore Construction LLC</t>
  </si>
  <si>
    <t>4429 Morena Boulevard, Suite A</t>
  </si>
  <si>
    <t xml:space="preserve"> San Diego  CA 92127</t>
  </si>
  <si>
    <t>Thomas A. Hodgin</t>
  </si>
  <si>
    <t>(619) 378-7878</t>
  </si>
  <si>
    <t>thodgin@ironcorecc.com</t>
  </si>
  <si>
    <t>Partner Energy</t>
  </si>
  <si>
    <t>980 Knox St. Suite 150</t>
  </si>
  <si>
    <t>Los Angeles, Ca 90502</t>
  </si>
  <si>
    <t>Kelsey Shaw</t>
  </si>
  <si>
    <t>310-356-2199</t>
  </si>
  <si>
    <t>kshaw@ptrenergy.com</t>
  </si>
  <si>
    <t>Novogradac Consulting LLP</t>
  </si>
  <si>
    <t>6700 Antioch Rd #450</t>
  </si>
  <si>
    <t>Merriam, Kansas 66204</t>
  </si>
  <si>
    <t>Thomas Stagg</t>
  </si>
  <si>
    <t>515-519-1234</t>
  </si>
  <si>
    <t>thomas.stagg@novoco.com</t>
  </si>
  <si>
    <t>Enterprise Housing Credits Investments, LLC</t>
  </si>
  <si>
    <t>70 Corporate Center, 11000 Broken Land Parkway, Suite 70</t>
  </si>
  <si>
    <t>Columbia, MD 21044</t>
  </si>
  <si>
    <t>Philip Porter</t>
  </si>
  <si>
    <t>410-964-0552</t>
  </si>
  <si>
    <t>pporter@enterprisecommunity.com</t>
  </si>
  <si>
    <t>rachel.denton@novoco.com</t>
  </si>
  <si>
    <t>California Municipal Finance Authority</t>
  </si>
  <si>
    <t>2111 Palomar Airport Rd., Suite 320</t>
  </si>
  <si>
    <t>Carlsbad, CA 92011</t>
  </si>
  <si>
    <t>The John Stewart Company</t>
  </si>
  <si>
    <t>1388 Sutter Street, 11th Floor</t>
  </si>
  <si>
    <t>San Francisco, CA 94109</t>
  </si>
  <si>
    <t>Jennifer Wood</t>
  </si>
  <si>
    <t xml:space="preserve">(415) 345-4400					</t>
  </si>
  <si>
    <t>jwood@jsco.net</t>
  </si>
  <si>
    <t>CRP Affordable Housing and Community Development CA LLC</t>
  </si>
  <si>
    <t>Joel Hammer</t>
  </si>
  <si>
    <t>122 E 42nd Street, Suite 1903, NY</t>
  </si>
  <si>
    <t>8 story highrise - Type- I A and Type III A Podium New Construction</t>
  </si>
  <si>
    <t xml:space="preserve">Village Core Mixed Use </t>
  </si>
  <si>
    <t>Village Core Mixed Use  (VCMU)</t>
  </si>
  <si>
    <t>Village Core Mixed Use  (VCMU) - No Max density restriction</t>
  </si>
  <si>
    <t>maximum 50 ft  (up to 65 ft with Community benefits)</t>
  </si>
  <si>
    <t>1 Bed - 1.0, 2 Bed - 1.5, 3 Bed - 2.0</t>
  </si>
  <si>
    <t>AHF 11.0</t>
  </si>
  <si>
    <t>AHF 12.0</t>
  </si>
  <si>
    <t>AHF 12.5</t>
  </si>
  <si>
    <t>Citi Taxable Construction Loan</t>
  </si>
  <si>
    <t>Citi Tax-exempt Construction Loan</t>
  </si>
  <si>
    <t>Federal LIHTC Equity</t>
  </si>
  <si>
    <t>SMC AHF 12.5</t>
  </si>
  <si>
    <t>SMC AHF 12.0</t>
  </si>
  <si>
    <t>SMC AHF 11.0</t>
  </si>
  <si>
    <t>SMC AHF 13.0</t>
  </si>
  <si>
    <t>Deferred Cost</t>
  </si>
  <si>
    <t>300 South Grand Avenue, Suite 3110</t>
  </si>
  <si>
    <t>Los Angeles, CA 90071</t>
  </si>
  <si>
    <t>Hao Li</t>
  </si>
  <si>
    <t>(213) 239-1914</t>
  </si>
  <si>
    <t>Private</t>
  </si>
  <si>
    <t>70 Corporate Center, 11000 Broken Land Parkway, Suite 700</t>
  </si>
  <si>
    <t xml:space="preserve">Equity, LIHTC Investor </t>
  </si>
  <si>
    <t>264 Harbor Blvd, Building A</t>
  </si>
  <si>
    <t>Belmont, CA 94002-4017</t>
  </si>
  <si>
    <t>Jan Stokley</t>
  </si>
  <si>
    <t>650-802-3300</t>
  </si>
  <si>
    <t>One Twin Pines Lane, Suite 340</t>
  </si>
  <si>
    <t>Belmont, CA 94002</t>
  </si>
  <si>
    <t>Julia Mates</t>
  </si>
  <si>
    <t>(650) 595-7408</t>
  </si>
  <si>
    <t>4429 Morena Blvd Suite A</t>
  </si>
  <si>
    <t>Citi Permanent Loan</t>
  </si>
  <si>
    <t xml:space="preserve">11/19/2025	</t>
  </si>
  <si>
    <t>Housing Authority of the County of San Mateo</t>
  </si>
  <si>
    <t>SMC AHF 12.0 + AHF 12.5+ AHF 13.0</t>
  </si>
  <si>
    <t>SMC AHF 11.0, SMC AHF 12.0, SMC AHF 12.5</t>
  </si>
  <si>
    <t>County of San Mateo’s Affordable Housing Fund 12.5</t>
  </si>
  <si>
    <t>County of San Mateo’s Affordable Housing Fund 12.0</t>
  </si>
  <si>
    <t>County of San Mateo’s Affordable Housing Fund 11.0 in HOME-ARP funds</t>
  </si>
  <si>
    <t>San Mateo County</t>
  </si>
  <si>
    <t>Director, Planning/Community Development Department</t>
  </si>
  <si>
    <t>Other (Specify below)</t>
  </si>
  <si>
    <t>Total number of units are 65, with 17 reserved for Homeless and</t>
  </si>
  <si>
    <t xml:space="preserve"> 10 units are designated as Accessible units</t>
  </si>
  <si>
    <t>AHF 13.0</t>
  </si>
  <si>
    <t>State LIHTC Equity</t>
  </si>
  <si>
    <t>(App. Fees, Late, etc.)</t>
  </si>
  <si>
    <t>Office Expenses</t>
  </si>
  <si>
    <t>Payroll taxes/ Employee Benefits</t>
  </si>
  <si>
    <t>Supplies</t>
  </si>
  <si>
    <t>LIHTC</t>
  </si>
  <si>
    <t>Employment Reporting + SMC 12.5 Origination Fee</t>
  </si>
  <si>
    <t>Legal for Perm loan</t>
  </si>
  <si>
    <t>Relocation cost</t>
  </si>
  <si>
    <t>Environmental remediation + CDLAC Fee + Misc 3rd party costs</t>
  </si>
  <si>
    <t>Fixed</t>
  </si>
  <si>
    <t>Provided</t>
  </si>
  <si>
    <t>Not Applicable</t>
  </si>
  <si>
    <t>Legal: Lender+Bond Issuer + MGP</t>
  </si>
  <si>
    <t>Prevailing Wage monitoring + Predevelopment Loan cost</t>
  </si>
  <si>
    <t>Novogradac &amp; Company LLP</t>
  </si>
  <si>
    <t>1300 114th Avenue SE, Suite 240</t>
  </si>
  <si>
    <t>Bellevue, WA 98004</t>
  </si>
  <si>
    <t>425-453-5783</t>
  </si>
  <si>
    <t>Rachel Denton</t>
  </si>
  <si>
    <t>913-312-4612</t>
  </si>
  <si>
    <t>John P. Stoecker</t>
  </si>
  <si>
    <t>760-930-1221</t>
  </si>
  <si>
    <t>jstoecker@cmfa-ca.com</t>
  </si>
  <si>
    <t>678 Ralston Ave, belmont ca 94002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</si>
</sst>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16" fillId="5" borderId="4" xfId="0" applyFon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6" xfId="0" applyFont="1" applyFill="1" applyBorder="1" applyAlignment="1" applyProtection="1">
      <alignment horizontal="left" wrapText="1"/>
      <protection locked="0"/>
    </xf>
    <xf numFmtId="166" fontId="16" fillId="5" borderId="6"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3" fontId="16" fillId="5" borderId="11" xfId="0" applyNumberFormat="1" applyFont="1"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2602</v>
      </c>
      <c r="E18" s="441"/>
      <c r="G18" s="441"/>
      <c r="H18" s="441"/>
      <c r="I18" s="441"/>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653</v>
      </c>
      <c r="F40" s="1260" t="s">
        <v>1164</v>
      </c>
    </row>
    <row r="41" spans="1:38" s="1260"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90" zoomScaleNormal="90" workbookViewId="0">
      <selection activeCell="A3" sqref="A3:I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2752</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2752</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2753</v>
      </c>
      <c r="D24" s="1283" t="s">
        <v>1091</v>
      </c>
      <c r="E24" s="1283"/>
      <c r="F24" s="1283"/>
      <c r="I24" s="490"/>
    </row>
    <row r="25" spans="1:9" ht="14.25">
      <c r="A25" s="484"/>
      <c r="B25" s="484"/>
      <c r="D25" s="1283"/>
      <c r="E25" s="1283"/>
      <c r="F25" s="1283"/>
      <c r="I25" s="490"/>
    </row>
    <row r="26" spans="1:9">
      <c r="I26" s="490"/>
    </row>
    <row r="27" spans="1:9" ht="14.25">
      <c r="A27" s="484"/>
      <c r="B27" s="485" t="s">
        <v>2752</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2752</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2753</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2753</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2753</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2753</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2752</v>
      </c>
      <c r="D56" s="1307" t="s">
        <v>1095</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2753</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2753</v>
      </c>
      <c r="D65" s="1283" t="s">
        <v>1097</v>
      </c>
      <c r="E65" s="1283"/>
      <c r="F65" s="1283"/>
      <c r="I65" s="490"/>
    </row>
    <row r="66" spans="1:9">
      <c r="D66" s="1283"/>
      <c r="E66" s="1283"/>
      <c r="F66" s="1283"/>
      <c r="I66" s="490"/>
    </row>
    <row r="67" spans="1:9">
      <c r="I67" s="490"/>
    </row>
    <row r="68" spans="1:9" ht="14.25">
      <c r="A68" s="484"/>
      <c r="B68" s="485" t="s">
        <v>2752</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2752</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2752</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2752</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2752</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2752</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2753</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2753</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2753</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2753</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2752</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2752</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2753</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2753</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2752</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2753</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2752</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2753</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2753</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2753</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2753</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25">
      <c r="A217" s="484"/>
      <c r="B217" s="485" t="s">
        <v>2753</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546</v>
      </c>
      <c r="E227" s="1291"/>
      <c r="F227" s="1291"/>
      <c r="I227" s="490"/>
    </row>
    <row r="228" spans="1:9" ht="14.25">
      <c r="A228" s="484"/>
      <c r="B228" s="485" t="s">
        <v>2752</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2752</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2752</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2753</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2752</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2752</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2752</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2753</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2753</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2753</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2753</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2753</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2753</v>
      </c>
      <c r="D305" s="1284" t="s">
        <v>1129</v>
      </c>
      <c r="E305" s="1284"/>
      <c r="F305" s="1284"/>
      <c r="I305" s="490"/>
    </row>
    <row r="306" spans="1:9" ht="14.25">
      <c r="A306" s="484"/>
      <c r="B306" s="484"/>
      <c r="D306" s="494"/>
      <c r="E306" s="495"/>
      <c r="F306" s="495"/>
      <c r="I306" s="490"/>
    </row>
    <row r="307" spans="1:9" ht="13.7" customHeight="1">
      <c r="B307" s="485" t="s">
        <v>2753</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2753</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2753</v>
      </c>
      <c r="D316" s="1284" t="s">
        <v>1131</v>
      </c>
      <c r="E316" s="1284"/>
      <c r="F316" s="1284"/>
      <c r="I316" s="490"/>
    </row>
    <row r="317" spans="1:9">
      <c r="E317" s="446"/>
      <c r="F317" s="446"/>
      <c r="I317" s="490"/>
    </row>
    <row r="318" spans="1:9" ht="14.25">
      <c r="A318" s="484"/>
      <c r="B318" s="485" t="s">
        <v>2753</v>
      </c>
      <c r="D318" s="1283" t="s">
        <v>2244</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2753</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2753</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2753</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2753</v>
      </c>
      <c r="C360" s="476"/>
      <c r="D360" s="1295" t="s">
        <v>2056</v>
      </c>
      <c r="E360" s="1295"/>
      <c r="F360" s="1295"/>
      <c r="I360" s="480"/>
    </row>
    <row r="361" spans="1:9">
      <c r="A361" s="476"/>
      <c r="B361" s="476"/>
      <c r="C361" s="476"/>
      <c r="D361" s="447"/>
      <c r="E361" s="447"/>
      <c r="F361" s="446"/>
      <c r="I361" s="490"/>
    </row>
    <row r="362" spans="1:9">
      <c r="A362" s="476"/>
      <c r="B362" s="485" t="s">
        <v>2753</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2753</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2753</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2753</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2753</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2753</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2753</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2753</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2753</v>
      </c>
      <c r="C471" s="484"/>
      <c r="D471" s="1283" t="s">
        <v>1197</v>
      </c>
      <c r="E471" s="1283"/>
      <c r="F471" s="1283"/>
      <c r="I471" s="490"/>
    </row>
    <row r="472" spans="1:9">
      <c r="D472" s="1283"/>
      <c r="E472" s="1283"/>
      <c r="F472" s="1283"/>
      <c r="I472" s="490"/>
    </row>
    <row r="473" spans="1:9">
      <c r="D473" s="446"/>
      <c r="E473" s="446"/>
      <c r="F473" s="446"/>
      <c r="I473" s="490"/>
    </row>
    <row r="474" spans="1:9" ht="14.25">
      <c r="B474" s="485" t="s">
        <v>2753</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2753</v>
      </c>
      <c r="C486" s="402"/>
      <c r="D486" s="1283"/>
      <c r="E486" s="1283"/>
      <c r="F486" s="1283"/>
      <c r="I486" s="490"/>
    </row>
    <row r="487" spans="1:9">
      <c r="A487" s="402"/>
      <c r="C487" s="402"/>
      <c r="D487" s="1283"/>
      <c r="E487" s="1283"/>
      <c r="F487" s="1283"/>
      <c r="I487" s="490"/>
    </row>
    <row r="488" spans="1:9">
      <c r="A488" s="402"/>
      <c r="B488" s="485" t="s">
        <v>2753</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2753</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2753</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2752</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2752</v>
      </c>
      <c r="D509" s="1284" t="s">
        <v>1143</v>
      </c>
      <c r="E509" s="1284"/>
      <c r="F509" s="1284"/>
      <c r="I509" s="490"/>
    </row>
    <row r="510" spans="1:9" ht="14.25">
      <c r="A510" s="484"/>
      <c r="B510" s="484"/>
      <c r="D510" s="446"/>
      <c r="I510" s="490"/>
    </row>
    <row r="511" spans="1:9" ht="14.25">
      <c r="A511" s="484"/>
      <c r="B511" s="485" t="s">
        <v>2752</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2753</v>
      </c>
      <c r="D514" s="1284" t="s">
        <v>1145</v>
      </c>
      <c r="E514" s="1284"/>
      <c r="F514" s="1284"/>
      <c r="I514" s="490"/>
    </row>
    <row r="515" spans="1:9">
      <c r="D515" s="446"/>
      <c r="E515" s="446"/>
      <c r="F515" s="446"/>
      <c r="I515" s="490"/>
    </row>
    <row r="516" spans="1:9">
      <c r="B516" s="485" t="s">
        <v>2753</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2752</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2752</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2753</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2752</v>
      </c>
      <c r="C548" s="487"/>
      <c r="D548" s="1284" t="s">
        <v>884</v>
      </c>
      <c r="E548" s="1284"/>
      <c r="F548" s="1284"/>
      <c r="I548" s="490"/>
    </row>
    <row r="549" spans="1:9" ht="13.7" customHeight="1">
      <c r="A549" s="487"/>
      <c r="B549" s="487"/>
      <c r="C549" s="487"/>
      <c r="D549" s="446"/>
      <c r="I549" s="490"/>
    </row>
    <row r="550" spans="1:9" ht="14.25">
      <c r="A550" s="484"/>
      <c r="B550" s="485" t="s">
        <v>2752</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2752</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2752</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2752</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2753</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2753</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2752</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2752</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2752</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2752</v>
      </c>
      <c r="D588" s="1287" t="s">
        <v>888</v>
      </c>
      <c r="E588" s="1287"/>
      <c r="F588" s="1287"/>
      <c r="I588" s="490"/>
    </row>
    <row r="589" spans="1:9">
      <c r="A589" s="490"/>
      <c r="B589" s="490"/>
      <c r="D589" s="476"/>
      <c r="I589" s="490"/>
    </row>
    <row r="590" spans="1:9">
      <c r="A590" s="490"/>
      <c r="B590" s="485" t="s">
        <v>2752</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2753</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2752</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2753</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2752</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2752</v>
      </c>
      <c r="D620" s="1308" t="s">
        <v>1111</v>
      </c>
      <c r="E620" s="1308"/>
      <c r="F620" s="1308"/>
      <c r="I620" s="490"/>
    </row>
    <row r="621" spans="1:9">
      <c r="D621" s="1308"/>
      <c r="E621" s="1308"/>
      <c r="F621" s="1308"/>
      <c r="I621" s="490"/>
    </row>
    <row r="622" spans="1:9">
      <c r="I622" s="490"/>
    </row>
    <row r="623" spans="1:9">
      <c r="B623" s="485" t="s">
        <v>2752</v>
      </c>
      <c r="D623" s="1308" t="s">
        <v>1112</v>
      </c>
      <c r="E623" s="1308"/>
      <c r="F623" s="1308"/>
      <c r="I623" s="490"/>
    </row>
    <row r="624" spans="1:9">
      <c r="C624" s="500"/>
      <c r="D624" s="1308"/>
      <c r="E624" s="1308"/>
      <c r="F624" s="1308"/>
      <c r="I624" s="490"/>
    </row>
    <row r="625" spans="1:9">
      <c r="C625" s="500"/>
      <c r="I625" s="490"/>
    </row>
    <row r="626" spans="1:9">
      <c r="B626" s="485" t="s">
        <v>2753</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2752</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2753</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2753</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2753</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2753</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2753</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2753</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2753</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2752</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2753</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2752</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2753</v>
      </c>
      <c r="C698" s="483"/>
      <c r="D698" s="1284" t="s">
        <v>2468</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2752</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2752</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2753</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2753</v>
      </c>
      <c r="C725" s="483"/>
      <c r="D725" s="1283" t="s">
        <v>2461</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2753</v>
      </c>
      <c r="C729" s="483"/>
      <c r="D729" s="1283" t="s">
        <v>2460</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2753</v>
      </c>
      <c r="C733" s="483"/>
      <c r="D733" s="1283" t="s">
        <v>2459</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2753</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2753</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2752</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2753</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2752</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2753</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2753</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2752</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2753</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2753</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2753</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2753</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2753</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2753</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2752</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2752</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2753</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2753</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2753</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2752</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2752</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2753</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2753</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2753</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2752</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2752</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2752</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2753</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2753</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2753</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2753</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2752</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2752</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2753</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2753</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2753</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2753</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2752</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2752</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2753</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2753</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2752</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2753</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2752</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2753</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2753</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2753</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2753</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2753</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2752</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2753</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2753</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2753</v>
      </c>
      <c r="C1062" s="402"/>
      <c r="D1062" s="402" t="s">
        <v>1812</v>
      </c>
      <c r="I1062" s="490"/>
    </row>
    <row r="1063" spans="1:9">
      <c r="A1063" s="402"/>
      <c r="B1063" s="402"/>
      <c r="C1063" s="402"/>
      <c r="I1063" s="490"/>
    </row>
    <row r="1064" spans="1:9">
      <c r="A1064" s="402"/>
      <c r="B1064" s="485" t="s">
        <v>2752</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2752</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2753</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2753</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2753</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2753</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2753</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2753</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2753</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2752</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2752</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334" workbookViewId="0">
      <selection activeCell="P355" sqref="P35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Bay Area ((Alameda, Contra Costa, Marin, San Francisco, San Mateo, Santa Clara, and Santa Cruz Counties)</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17</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2509</v>
      </c>
      <c r="BE8" s="1249">
        <f>SUMIF($AC$718:$AC$752,"&lt;=35%",$G$718:G$752)-SUM($BE$5:BE7)</f>
        <v>0</v>
      </c>
    </row>
    <row r="9" spans="1:58" ht="12.95" customHeight="1">
      <c r="A9" s="1837" t="s">
        <v>2076</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2501</v>
      </c>
      <c r="BE9" s="1249">
        <f>SUMIF($AC$718:$AC$752,"&lt;=40%",$G$718:G$752)-SUM($BE$5:BE8)</f>
        <v>0</v>
      </c>
    </row>
    <row r="10" spans="1:58" ht="12.95" customHeight="1">
      <c r="A10" s="1837" t="s">
        <v>2458</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2510</v>
      </c>
      <c r="BE10" s="1249">
        <f>SUMIF($AC$718:$AC$752,"&lt;=45%",$G$718:G$752)-SUM($BE$5:BE9)</f>
        <v>0</v>
      </c>
    </row>
    <row r="11" spans="1:58" ht="12.95" customHeight="1">
      <c r="A11" s="1837" t="s">
        <v>2604</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2502</v>
      </c>
      <c r="BE11" s="1249">
        <f>SUMIF($AC$718:$AC$752,"&lt;=50%",$G$718:G$752)-SUM($BE$5:BE10)</f>
        <v>35</v>
      </c>
    </row>
    <row r="12" spans="1:58" ht="12.95" customHeight="1">
      <c r="A12" s="1838" t="s">
        <v>2610</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2511</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2503</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2504</v>
      </c>
      <c r="BE14" s="1249">
        <f>SUMIF($AC$718:$AC$752,"&lt;=70%",$G$718:G$752)-SUM($BE$5:BE13)</f>
        <v>12</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72"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656</v>
      </c>
      <c r="BE16" s="1249" t="str">
        <f>Application!H18</f>
        <v>The Ridge at Ralston</v>
      </c>
    </row>
    <row r="17" spans="1:58" ht="12.95" customHeight="1">
      <c r="BD17" s="1247" t="s">
        <v>2518</v>
      </c>
      <c r="BE17" s="1249">
        <f>Application!AA934</f>
        <v>0</v>
      </c>
    </row>
    <row r="18" spans="1:58" ht="12.95" customHeight="1">
      <c r="A18" s="57" t="s">
        <v>101</v>
      </c>
      <c r="C18" s="4"/>
      <c r="D18" s="4"/>
      <c r="E18" s="4"/>
      <c r="F18" s="4"/>
      <c r="G18" s="4"/>
      <c r="H18" s="1522"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2519</v>
      </c>
      <c r="BE18" s="1249">
        <f>'CalHFA Addendum'!N11</f>
        <v>0</v>
      </c>
    </row>
    <row r="19" spans="1:58" ht="12.95" customHeight="1">
      <c r="BD19" s="1247" t="s">
        <v>2520</v>
      </c>
      <c r="BE19" s="1249">
        <f>Application!M26</f>
        <v>2597613</v>
      </c>
    </row>
    <row r="20" spans="1:58" ht="12.95"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2521</v>
      </c>
      <c r="BE20" s="1249">
        <f>Application!M27</f>
        <v>6000000</v>
      </c>
    </row>
    <row r="21" spans="1:58" ht="12.95"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2522</v>
      </c>
      <c r="BE21" s="1249">
        <f>Application!AM554</f>
        <v>16000000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57237817</v>
      </c>
      <c r="BF22" s="3" t="s">
        <v>2595</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2523</v>
      </c>
      <c r="BE23" s="1249">
        <f>'Sources and Uses Budget'!B4</f>
        <v>4550000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2524</v>
      </c>
      <c r="BE24" s="1249">
        <f>Application!AG450</f>
        <v>80833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41">
        <f>'Basis &amp; Credits'!AB56</f>
        <v>2597613</v>
      </c>
      <c r="N26" s="1841"/>
      <c r="O26" s="1841"/>
      <c r="P26" s="1841"/>
      <c r="Q26" s="1841"/>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6000000</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2527</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1</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17</v>
      </c>
    </row>
    <row r="33" spans="1:57" ht="12.95" customHeight="1">
      <c r="A33" s="519" t="s">
        <v>1278</v>
      </c>
      <c r="C33" s="519"/>
      <c r="D33" s="519"/>
      <c r="E33" s="519"/>
      <c r="F33" s="519"/>
      <c r="G33" s="519"/>
      <c r="H33" s="519"/>
      <c r="I33" s="519"/>
      <c r="J33" s="519"/>
      <c r="K33" s="519"/>
      <c r="L33" s="519"/>
      <c r="M33" s="519"/>
      <c r="N33" s="519"/>
      <c r="O33" s="1415" t="s">
        <v>545</v>
      </c>
      <c r="P33" s="1415"/>
      <c r="Q33" s="1840" t="s">
        <v>2148</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2596</v>
      </c>
      <c r="BE33" s="1249" t="str">
        <f>Application!D220</f>
        <v>South and West Bay Region: San Mateo and Santa Clara Counties</v>
      </c>
    </row>
    <row r="34" spans="1:57" ht="12.95"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2530</v>
      </c>
      <c r="BE34" s="1249" t="str">
        <f>Application!I185</f>
        <v>678 Ralston Ave, belmont ca 94002</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2531</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2532</v>
      </c>
      <c r="BE36" s="1249" t="str">
        <f>Application!I189</f>
        <v>Belmont</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2533</v>
      </c>
      <c r="BE37" s="1249" t="str">
        <f>Application!T189</f>
        <v>San Mateo</v>
      </c>
    </row>
    <row r="38" spans="1:57" ht="12.95" customHeight="1">
      <c r="A38" s="3"/>
      <c r="AZ38" s="20"/>
      <c r="BD38" s="1248" t="s">
        <v>2534</v>
      </c>
      <c r="BE38" s="1249">
        <f>Application!I190</f>
        <v>94002</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2535</v>
      </c>
      <c r="BE39" s="1249">
        <f>Application!AG437</f>
        <v>65</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64</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2536</v>
      </c>
      <c r="BE42" s="1251">
        <f>Application!AC753</f>
        <v>0.484375</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2537</v>
      </c>
      <c r="BE43" s="1251">
        <f>Application!AH753</f>
        <v>0.42794899764060595</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2538</v>
      </c>
      <c r="BE44" s="1249">
        <f>Application!AC454</f>
        <v>880581.8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2540</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2541</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2542</v>
      </c>
      <c r="BE48" s="1249" t="str">
        <f>Application!M243</f>
        <v>Abode HD 678 Ralston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2543</v>
      </c>
      <c r="BE49" s="1249" t="str">
        <f>Application!M246</f>
        <v>Jonathan White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Abode Housing Development</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2545</v>
      </c>
      <c r="BE51" s="1249" t="str">
        <f>Application!M251</f>
        <v>The Ridge at Ralston AGP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2546</v>
      </c>
      <c r="BE52" s="1249" t="str">
        <f>Application!M254</f>
        <v>Paul Salib</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CRP Affordable Housing and Community Development LLC</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2548</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2549</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2550</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2551</v>
      </c>
      <c r="BE57" s="1249" t="str">
        <f>Application!H287</f>
        <v>CRP Affordable Housing and Community Development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2552</v>
      </c>
      <c r="BE58" s="1249" t="str">
        <f>Application!H288</f>
        <v>122 E 42nd Street, Suite 1903</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New York, NY 10168</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2554</v>
      </c>
      <c r="BE60" s="1249" t="str">
        <f>Application!H290</f>
        <v>Paul Salib</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2555</v>
      </c>
      <c r="BE61" s="1249" t="str">
        <f>Application!H293</f>
        <v>psalib@crpaffordable.com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0.799919887989473</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5"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2593</v>
      </c>
      <c r="BE65" s="1249" t="str">
        <f>Z205</f>
        <v>$500M</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2558</v>
      </c>
      <c r="BE66" s="1249"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2561</v>
      </c>
      <c r="BE69" s="1249" t="str">
        <f>Application!W700</f>
        <v>California Municipal Finance Authority</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2562</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2564</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2567</v>
      </c>
      <c r="BE75" s="1249">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2568</v>
      </c>
      <c r="BE76" s="1249">
        <f>'Points System'!AF811</f>
        <v>10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2571</v>
      </c>
      <c r="BE79" s="1249">
        <f>'Points System'!AF815</f>
        <v>10</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2572</v>
      </c>
      <c r="BE80" s="1249">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2575</v>
      </c>
      <c r="BE83" s="1253">
        <f>'Tie Breaker'!H5</f>
        <v>1.7639420161994321</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2576</v>
      </c>
      <c r="BE84" s="1249" t="str">
        <f>Application!O153</f>
        <v>City of Belmont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Mr. Craig A. Ewing</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2578</v>
      </c>
      <c r="BE86" s="1249" t="str">
        <f>Application!O155</f>
        <v>Director, Planning/Community Development Department</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2579</v>
      </c>
      <c r="BE87" s="1249" t="str">
        <f>Application!O156</f>
        <v xml:space="preserve">1070 6th Ave. #302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Belmont, CA</v>
      </c>
    </row>
    <row r="89" spans="1:57" ht="12.95" customHeight="1">
      <c r="A89" s="1552" t="s">
        <v>2163</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7" t="s">
        <v>2581</v>
      </c>
      <c r="BE89" s="1249">
        <f>Application!O158</f>
        <v>94002</v>
      </c>
    </row>
    <row r="90" spans="1:57"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48" t="s">
        <v>2582</v>
      </c>
      <c r="BE90" s="1249" t="str">
        <f>Application!H16</f>
        <v>The Ridge at Ralston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122 E 42nd Street, Suite 1903</v>
      </c>
    </row>
    <row r="92" spans="1:57" ht="12.95"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2584</v>
      </c>
      <c r="BE92" s="1249" t="str">
        <f>Application!M234</f>
        <v>New York</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2585</v>
      </c>
      <c r="BE93" s="1249" t="str">
        <f>Application!W234</f>
        <v>NY</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2586</v>
      </c>
      <c r="BE94" s="1249">
        <f>Application!AC234</f>
        <v>10168</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2587</v>
      </c>
      <c r="BE95" s="1249" t="str">
        <f>Application!M235</f>
        <v>Paul Salib</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2588</v>
      </c>
      <c r="BE96" s="1249" t="str">
        <f>Application!M237</f>
        <v>psalib@crpaffordable.com</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2589</v>
      </c>
      <c r="BE97" s="1249" t="str">
        <f>Application!M248</f>
        <v>jwhite@abode.org</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2590</v>
      </c>
      <c r="BE98" s="1249" t="str">
        <f>Application!M256</f>
        <v>psalib@crpaffordable.com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53" t="s">
        <v>2165</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48" t="s">
        <v>2592</v>
      </c>
      <c r="BE100" s="1249" t="str">
        <f>Application!L279</f>
        <v>ssterneck@crpaffordable.com</v>
      </c>
    </row>
    <row r="101" spans="1:57" ht="12.9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2597</v>
      </c>
      <c r="BE101">
        <f>'Sources and Uses Budget'!C105</f>
        <v>57237817</v>
      </c>
    </row>
    <row r="102" spans="1:57" ht="12.95"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2598</v>
      </c>
      <c r="BE102" t="b">
        <f>T197="Yes"</f>
        <v>0</v>
      </c>
    </row>
    <row r="103" spans="1:57" ht="12.95"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3" t="s">
        <v>2166</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2.95"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6"/>
      <c r="H113" s="1546"/>
      <c r="I113" s="3" t="s">
        <v>182</v>
      </c>
      <c r="L113" s="1546"/>
      <c r="M113" s="1546"/>
      <c r="N113" s="1546"/>
      <c r="O113" s="1546"/>
      <c r="P113" s="1560" t="s">
        <v>2239</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7"/>
      <c r="D115" s="1547"/>
      <c r="E115" s="1547"/>
      <c r="F115" s="1547"/>
      <c r="G115" s="1547"/>
      <c r="H115" s="1547"/>
      <c r="I115" s="1547"/>
      <c r="J115" s="1547"/>
      <c r="K115" s="154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6"/>
      <c r="Z117" s="1546"/>
      <c r="AA117" s="1546"/>
      <c r="AB117" s="1546"/>
      <c r="AC117" s="1546"/>
      <c r="AD117" s="1546"/>
      <c r="AE117" s="1546"/>
      <c r="AF117" s="1546"/>
      <c r="AG117" s="1546"/>
      <c r="AH117" s="1546"/>
      <c r="AI117" s="1546"/>
      <c r="AJ117" s="1546"/>
      <c r="AK117" s="1546"/>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6"/>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San Mateo</v>
      </c>
      <c r="DH122" s="1692"/>
      <c r="DI122" s="1692"/>
      <c r="DJ122" s="1692"/>
      <c r="DK122" s="1692"/>
      <c r="DL122" s="1692"/>
      <c r="DM122" s="1693"/>
    </row>
    <row r="123" spans="1:117" ht="12.95" customHeight="1">
      <c r="A123" s="3"/>
      <c r="B123" s="3"/>
      <c r="T123" s="3"/>
      <c r="U123" s="3"/>
      <c r="V123" s="3"/>
      <c r="W123" s="3"/>
      <c r="X123" s="3"/>
      <c r="Y123" s="1546"/>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25" t="s">
        <v>2614</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440</v>
      </c>
      <c r="O154" s="1471"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1" t="s">
        <v>2736</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407"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2" t="s">
        <v>2617</v>
      </c>
      <c r="P157" s="1525"/>
      <c r="Q157" s="1525"/>
      <c r="R157" s="1525"/>
      <c r="S157" s="1525"/>
      <c r="T157" s="1525"/>
      <c r="U157" s="1525"/>
      <c r="V157" s="1525"/>
      <c r="W157" s="1525"/>
      <c r="X157" s="152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6">
        <v>94002</v>
      </c>
      <c r="P158" s="1556"/>
      <c r="Q158" s="1556"/>
      <c r="R158" s="1556"/>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1" t="s">
        <v>2618</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51" t="s">
        <v>2619</v>
      </c>
      <c r="P160" s="1551"/>
      <c r="Q160" s="1551"/>
      <c r="R160" s="1551"/>
      <c r="S160" s="1551"/>
      <c r="T160" s="155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539"/>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48" t="s">
        <v>2216</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545</v>
      </c>
      <c r="V175" s="1415"/>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509">
        <v>25</v>
      </c>
      <c r="V176" s="1509"/>
      <c r="W176" s="1" t="s">
        <v>306</v>
      </c>
      <c r="X176" s="1565">
        <v>561</v>
      </c>
      <c r="Y176" s="1565"/>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669</v>
      </c>
      <c r="S177" s="1415"/>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2079</v>
      </c>
      <c r="AE178" s="27" t="s">
        <v>305</v>
      </c>
      <c r="AF178" s="1564"/>
      <c r="AG178" s="1564"/>
      <c r="AH178" s="1" t="s">
        <v>306</v>
      </c>
      <c r="AI178" s="1446"/>
      <c r="AJ178" s="1446"/>
      <c r="AK178" s="1446"/>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415"/>
      <c r="Y180" s="1415"/>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483" t="str">
        <f>H18</f>
        <v>The Ridge at Ralston</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71" t="s">
        <v>2765</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522" t="s">
        <v>2620</v>
      </c>
      <c r="J189" s="1407"/>
      <c r="K189" s="1407"/>
      <c r="L189" s="1407"/>
      <c r="M189" s="1407"/>
      <c r="N189" s="1407"/>
      <c r="O189" s="1407"/>
      <c r="P189" s="1407"/>
      <c r="Q189" t="s">
        <v>582</v>
      </c>
      <c r="T189" s="1407" t="s">
        <v>70</v>
      </c>
      <c r="U189" s="1407"/>
      <c r="V189" s="1407"/>
      <c r="W189" s="1407"/>
      <c r="X189" s="1407"/>
      <c r="Y189" s="1407"/>
      <c r="Z189" s="1407"/>
      <c r="AA189" s="1407"/>
      <c r="AB189" s="1407"/>
      <c r="AC189" s="1407"/>
      <c r="AD189" s="1407"/>
      <c r="AE189" s="1407"/>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71">
        <v>94002</v>
      </c>
      <c r="J190" s="1371"/>
      <c r="K190" s="1371"/>
      <c r="L190" s="1371"/>
      <c r="M190" s="1371"/>
      <c r="N190" s="1371"/>
      <c r="O190" t="s">
        <v>585</v>
      </c>
      <c r="T190" s="1554">
        <v>6086</v>
      </c>
      <c r="U190" s="1554"/>
      <c r="V190" s="1554"/>
      <c r="W190" s="1554"/>
      <c r="X190" s="1554"/>
      <c r="Y190" s="1554"/>
      <c r="Z190" s="1554"/>
      <c r="AA190" s="1554"/>
      <c r="AB190" s="1554"/>
      <c r="AC190" s="1554"/>
      <c r="AD190" s="1554"/>
      <c r="AE190" s="1554"/>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528" t="s">
        <v>2621</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58" t="s">
        <v>1969</v>
      </c>
      <c r="U193" s="1558"/>
      <c r="V193" s="1558"/>
      <c r="W193" s="1558"/>
      <c r="X193" s="1558"/>
      <c r="Y193" s="1558"/>
      <c r="Z193" s="1558"/>
      <c r="AA193" s="1558"/>
      <c r="AB193" s="1558"/>
      <c r="AC193" s="1558"/>
      <c r="AD193" s="1558"/>
      <c r="AE193" s="1558"/>
      <c r="AF193" s="1558"/>
      <c r="AG193" s="1558"/>
      <c r="AH193" s="1558"/>
      <c r="AI193" s="1558"/>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415" t="s">
        <v>545</v>
      </c>
      <c r="U195" s="1415"/>
      <c r="W195" t="s">
        <v>684</v>
      </c>
      <c r="AH195" s="1415">
        <v>15</v>
      </c>
      <c r="AI195" s="1415"/>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27" t="s">
        <v>669</v>
      </c>
      <c r="U196" s="1427"/>
      <c r="W196" t="s">
        <v>685</v>
      </c>
      <c r="AH196" s="1415">
        <v>21</v>
      </c>
      <c r="AI196" s="1415"/>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27" t="s">
        <v>669</v>
      </c>
      <c r="U197" s="1427"/>
      <c r="W197" t="s">
        <v>686</v>
      </c>
      <c r="AH197" s="1415">
        <v>13</v>
      </c>
      <c r="AI197" s="1415"/>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7">
        <v>0</v>
      </c>
      <c r="U198" s="1427"/>
      <c r="V198"/>
      <c r="X198" s="1535" t="s">
        <v>2513</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5" t="s">
        <v>669</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2514</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49">
        <f>M26</f>
        <v>2597613</v>
      </c>
      <c r="Q204" s="1550"/>
      <c r="R204" s="1550"/>
      <c r="S204" s="1550"/>
      <c r="T204" s="1550"/>
      <c r="U204" s="1550"/>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37" t="s">
        <v>1247</v>
      </c>
      <c r="E205" s="1483"/>
      <c r="F205" s="1483"/>
      <c r="G205" s="1483"/>
      <c r="H205" s="1483"/>
      <c r="I205" s="1483"/>
      <c r="J205" s="1483"/>
      <c r="K205" s="1483"/>
      <c r="L205" s="1483"/>
      <c r="M205" s="1483"/>
      <c r="P205" s="1550">
        <f>M27</f>
        <v>6000000</v>
      </c>
      <c r="Q205" s="1550"/>
      <c r="R205" s="1550"/>
      <c r="S205" s="1550"/>
      <c r="T205" s="1550"/>
      <c r="U205" s="1550"/>
      <c r="V205" s="28"/>
      <c r="W205" s="3" t="s">
        <v>1720</v>
      </c>
      <c r="Z205" s="1533" t="s">
        <v>2219</v>
      </c>
      <c r="AA205" s="1533"/>
      <c r="AB205" s="1533"/>
      <c r="AC205" s="1533"/>
      <c r="AD205" s="1533"/>
      <c r="AE205" s="1533"/>
      <c r="AF205" s="1533"/>
      <c r="AG205" s="1533"/>
      <c r="AH205" s="1533"/>
      <c r="AI205" s="1533"/>
      <c r="AJ205" s="1533"/>
      <c r="AK205" s="1533"/>
      <c r="AL205" s="1533"/>
      <c r="AM205" s="1533"/>
      <c r="AN205" s="1533"/>
      <c r="AP205" s="1405"/>
      <c r="AQ205" s="140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5" t="s">
        <v>2622</v>
      </c>
      <c r="E208" s="1525"/>
      <c r="F208" s="1525"/>
      <c r="G208" s="1525"/>
      <c r="H208" s="1525"/>
      <c r="I208" s="1525"/>
      <c r="J208" s="1525"/>
      <c r="K208" s="1525"/>
      <c r="L208" s="1525"/>
      <c r="M208" s="1525"/>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1041</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5">
        <v>17</v>
      </c>
      <c r="R212" s="1415"/>
      <c r="T212" s="1562">
        <f>IFERROR(Q212/AG440,0)</f>
        <v>0.265625</v>
      </c>
      <c r="U212" s="1563"/>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5" t="s">
        <v>591</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377</v>
      </c>
    </row>
    <row r="220" spans="1:108" ht="12.95" customHeight="1">
      <c r="A220" s="2"/>
      <c r="C220" s="2"/>
      <c r="D220" s="1525" t="s">
        <v>1026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2465</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545</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591</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5" t="str">
        <f>H16</f>
        <v>The Ridge at Ralston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5" t="s">
        <v>538</v>
      </c>
      <c r="BG232" s="241">
        <f>IF(AND(AND($M$249="nonprofit",$M$257="nonprofit",$M$265="for profit")),2,0)</f>
        <v>0</v>
      </c>
    </row>
    <row r="233" spans="1:59" ht="12.95" customHeight="1">
      <c r="D233" s="4" t="s">
        <v>85</v>
      </c>
      <c r="E233" s="4"/>
      <c r="F233" s="4"/>
      <c r="G233" s="4"/>
      <c r="H233" s="4"/>
      <c r="I233" s="4"/>
      <c r="J233" s="4"/>
      <c r="K233" s="4"/>
      <c r="M233" s="1525" t="s">
        <v>2623</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538</v>
      </c>
      <c r="BG233" s="241">
        <f>IF(AND(AND($M$249="nonprofit",$M$257="for profit",$M$265="nonprofit")),2,0)</f>
        <v>0</v>
      </c>
    </row>
    <row r="234" spans="1:59" ht="12.95" customHeight="1">
      <c r="D234" s="4" t="s">
        <v>580</v>
      </c>
      <c r="E234" s="4"/>
      <c r="M234" s="1522" t="s">
        <v>2624</v>
      </c>
      <c r="N234" s="1525"/>
      <c r="O234" s="1525"/>
      <c r="P234" s="1525"/>
      <c r="Q234" s="1525"/>
      <c r="R234" s="1525"/>
      <c r="S234" s="1525"/>
      <c r="T234" s="1525"/>
      <c r="V234" s="33" t="s">
        <v>86</v>
      </c>
      <c r="W234" s="1561" t="s">
        <v>2625</v>
      </c>
      <c r="X234" s="1471"/>
      <c r="Y234" s="4" t="s">
        <v>583</v>
      </c>
      <c r="AC234" s="1525">
        <v>10168</v>
      </c>
      <c r="AD234" s="1525"/>
      <c r="AE234" s="1525"/>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5"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t="s">
        <v>2627</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537</v>
      </c>
      <c r="BG236" s="241">
        <f>IF(AND(AND($M$249="nonprofit",$M$257="nonprofit",$M$265="(select one)")),1,0)</f>
        <v>0</v>
      </c>
    </row>
    <row r="237" spans="1:59" ht="12.95" customHeight="1">
      <c r="D237" s="4" t="s">
        <v>90</v>
      </c>
      <c r="E237" s="4"/>
      <c r="F237" s="4"/>
      <c r="M237" s="1539" t="s">
        <v>2628</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528</v>
      </c>
      <c r="N238" s="1371"/>
      <c r="O238" s="1371"/>
      <c r="P238" s="1371"/>
      <c r="Q238" s="1371"/>
      <c r="R238" s="1371"/>
      <c r="S238" s="1371"/>
      <c r="T238" s="1371"/>
      <c r="U238" s="204" t="s">
        <v>906</v>
      </c>
      <c r="V238" s="204"/>
      <c r="W238" s="204"/>
      <c r="X238" s="204"/>
      <c r="Y238" s="204"/>
      <c r="Z238" s="204"/>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1" t="s">
        <v>2629</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2630</v>
      </c>
      <c r="AG243" s="1541"/>
      <c r="AH243" s="1541"/>
      <c r="AI243" s="1541"/>
      <c r="AJ243" s="1541"/>
      <c r="AK243" s="154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2631</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25" t="s">
        <v>2632</v>
      </c>
      <c r="N245" s="1525"/>
      <c r="O245" s="1525"/>
      <c r="P245" s="1525"/>
      <c r="Q245" s="1525"/>
      <c r="R245" s="1525"/>
      <c r="S245" s="1525"/>
      <c r="T245" s="1525"/>
      <c r="V245" s="33" t="s">
        <v>86</v>
      </c>
      <c r="W245" s="1471"/>
      <c r="X245" s="1471"/>
      <c r="Y245" s="4" t="s">
        <v>583</v>
      </c>
      <c r="AC245" s="1525"/>
      <c r="AD245" s="1525"/>
      <c r="AE245" s="1525"/>
      <c r="AF245" s="3" t="s">
        <v>1180</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522" t="s">
        <v>2633</v>
      </c>
      <c r="N246" s="1525"/>
      <c r="O246" s="1525"/>
      <c r="P246" s="1525"/>
      <c r="Q246" s="1525"/>
      <c r="R246" s="1525"/>
      <c r="S246" s="1525"/>
      <c r="T246" s="1525"/>
      <c r="U246" s="1525"/>
      <c r="V246" s="1525"/>
      <c r="W246" s="1525"/>
      <c r="X246" s="1525"/>
      <c r="Y246" s="1525"/>
      <c r="Z246" s="1525"/>
      <c r="AA246" s="1525"/>
      <c r="AB246" s="1525"/>
      <c r="AC246" s="1525"/>
      <c r="AD246" s="1525"/>
      <c r="AE246" s="1525"/>
      <c r="AH246" s="1538">
        <v>4.8999999999999998E-4</v>
      </c>
      <c r="AI246" s="1538"/>
      <c r="AJ246" s="1538"/>
      <c r="AK246" s="1538"/>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87" t="s">
        <v>2634</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9" t="s">
        <v>2635</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59" t="s">
        <v>2636</v>
      </c>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1" t="s">
        <v>2637</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2638</v>
      </c>
      <c r="AG251" s="1541"/>
      <c r="AH251" s="1541"/>
      <c r="AI251" s="1541"/>
      <c r="AJ251" s="1541"/>
      <c r="AK251" s="1541"/>
      <c r="AU251" s="4"/>
      <c r="AV251" s="4"/>
      <c r="AW251" s="4"/>
      <c r="AX251" s="4"/>
      <c r="AY251" s="4"/>
      <c r="BN251" s="34"/>
    </row>
    <row r="252" spans="1:67" ht="12.95" customHeight="1">
      <c r="A252" s="19"/>
      <c r="B252" s="4"/>
      <c r="C252" s="4"/>
      <c r="D252" s="4" t="s">
        <v>85</v>
      </c>
      <c r="E252" s="4"/>
      <c r="F252" s="4"/>
      <c r="G252" s="4"/>
      <c r="H252" s="4"/>
      <c r="I252" s="4"/>
      <c r="J252" s="4"/>
      <c r="K252" s="4"/>
      <c r="L252" s="4"/>
      <c r="M252" s="1522" t="s">
        <v>2623</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2.95" customHeight="1">
      <c r="A253" s="19"/>
      <c r="B253" s="4"/>
      <c r="C253" s="4"/>
      <c r="D253" s="4" t="s">
        <v>580</v>
      </c>
      <c r="E253" s="4"/>
      <c r="M253" s="1522" t="s">
        <v>2624</v>
      </c>
      <c r="N253" s="1525"/>
      <c r="O253" s="1525"/>
      <c r="P253" s="1525"/>
      <c r="Q253" s="1525"/>
      <c r="R253" s="1525"/>
      <c r="S253" s="1525"/>
      <c r="T253" s="1525"/>
      <c r="V253" s="33" t="s">
        <v>86</v>
      </c>
      <c r="W253" s="1561" t="s">
        <v>2625</v>
      </c>
      <c r="X253" s="1471"/>
      <c r="Y253" s="4" t="s">
        <v>583</v>
      </c>
      <c r="AC253" s="1525">
        <v>10168</v>
      </c>
      <c r="AD253" s="1525"/>
      <c r="AE253" s="1525"/>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
        <v>2626</v>
      </c>
      <c r="N254" s="1525"/>
      <c r="O254" s="1525"/>
      <c r="P254" s="1525"/>
      <c r="Q254" s="1525"/>
      <c r="R254" s="1525"/>
      <c r="S254" s="1525"/>
      <c r="T254" s="1525"/>
      <c r="U254" s="1525"/>
      <c r="V254" s="1525"/>
      <c r="W254" s="1525"/>
      <c r="X254" s="1525"/>
      <c r="Y254" s="1525"/>
      <c r="Z254" s="1525"/>
      <c r="AA254" s="1525"/>
      <c r="AB254" s="1525"/>
      <c r="AC254" s="1525"/>
      <c r="AD254" s="1525"/>
      <c r="AE254" s="1525"/>
      <c r="AH254" s="1538">
        <v>5.1000000000000004E-4</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487" t="s">
        <v>2627</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9" t="s">
        <v>2628</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4" t="s">
        <v>906</v>
      </c>
      <c r="V257" s="204"/>
      <c r="W257" s="204"/>
      <c r="X257" s="204"/>
      <c r="Y257" s="204"/>
      <c r="Z257" s="204"/>
      <c r="AA257" s="1573" t="s">
        <v>2639</v>
      </c>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5"/>
      <c r="N261" s="1525"/>
      <c r="O261" s="1525"/>
      <c r="P261" s="1525"/>
      <c r="Q261" s="1525"/>
      <c r="R261" s="1525"/>
      <c r="S261" s="1525"/>
      <c r="T261" s="1525"/>
      <c r="V261" s="33" t="s">
        <v>86</v>
      </c>
      <c r="W261" s="1471"/>
      <c r="X261" s="1471"/>
      <c r="Y261" s="4" t="s">
        <v>583</v>
      </c>
      <c r="AC261" s="1525"/>
      <c r="AD261" s="1525"/>
      <c r="AE261" s="1525"/>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66" t="str">
        <f>IFERROR(BO245,"")</f>
        <v>Joint Venture</v>
      </c>
      <c r="U267" s="1566"/>
      <c r="V267" s="1566"/>
      <c r="W267" s="1566"/>
      <c r="X267" s="1566"/>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2" t="s">
        <v>2639</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2623</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580</v>
      </c>
      <c r="E276" s="4"/>
      <c r="L276" s="1522" t="s">
        <v>2624</v>
      </c>
      <c r="M276" s="1525"/>
      <c r="N276" s="1525"/>
      <c r="O276" s="1525"/>
      <c r="P276" s="1525"/>
      <c r="Q276" s="1525"/>
      <c r="R276" s="1525"/>
      <c r="S276" s="1525"/>
      <c r="U276" s="33" t="s">
        <v>86</v>
      </c>
      <c r="V276" s="1561" t="s">
        <v>2625</v>
      </c>
      <c r="W276" s="1471"/>
      <c r="X276" s="4" t="s">
        <v>583</v>
      </c>
      <c r="AB276" s="1525">
        <v>10168</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2640</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t="s">
        <v>2641</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9" t="s">
        <v>2642</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5" customHeight="1">
      <c r="D280" s="3" t="s">
        <v>623</v>
      </c>
      <c r="E280" s="3"/>
      <c r="F280" s="3"/>
      <c r="G280" s="3"/>
      <c r="H280" s="3"/>
      <c r="I280" s="3"/>
      <c r="L280" s="1561" t="s">
        <v>2643</v>
      </c>
      <c r="M280" s="1561"/>
      <c r="N280" s="1561"/>
      <c r="O280" s="1561"/>
      <c r="P280" s="1561"/>
      <c r="Q280" s="1561"/>
      <c r="R280" s="1561"/>
      <c r="S280" s="1561"/>
      <c r="T280" s="1561"/>
      <c r="U280" s="1561"/>
      <c r="V280" s="1561"/>
      <c r="W280" s="1561"/>
      <c r="X280" s="1561"/>
      <c r="Y280" s="1561"/>
      <c r="Z280" s="1561"/>
      <c r="AA280" s="1561"/>
      <c r="AB280" s="1561"/>
      <c r="AC280" s="1561"/>
      <c r="AD280" s="1561"/>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7" t="s">
        <v>2639</v>
      </c>
      <c r="I287" s="1407"/>
      <c r="J287" s="1407"/>
      <c r="K287" s="1407"/>
      <c r="L287" s="1407"/>
      <c r="M287" s="1407"/>
      <c r="N287" s="1407"/>
      <c r="O287" s="1407"/>
      <c r="P287" s="1407"/>
      <c r="Q287" s="1407"/>
      <c r="R287" s="1407"/>
      <c r="T287" s="3" t="s">
        <v>567</v>
      </c>
      <c r="V287" s="3"/>
      <c r="W287" s="3"/>
      <c r="X287" s="3"/>
      <c r="Y287" s="3"/>
      <c r="AA287" s="1407" t="s">
        <v>2645</v>
      </c>
      <c r="AB287" s="1407"/>
      <c r="AC287" s="1407"/>
      <c r="AD287" s="1407"/>
      <c r="AE287" s="1407"/>
      <c r="AF287" s="1407"/>
      <c r="AG287" s="1407"/>
      <c r="AH287" s="1407"/>
      <c r="AI287" s="1407"/>
      <c r="AJ287" s="1407"/>
      <c r="AK287" s="1407"/>
    </row>
    <row r="288" spans="1:51" ht="12.95" customHeight="1">
      <c r="B288" s="3" t="s">
        <v>471</v>
      </c>
      <c r="C288" s="3"/>
      <c r="D288" s="3"/>
      <c r="E288" s="3"/>
      <c r="F288" s="3"/>
      <c r="H288" s="1371" t="s">
        <v>2623</v>
      </c>
      <c r="I288" s="1371"/>
      <c r="J288" s="1371"/>
      <c r="K288" s="1371"/>
      <c r="L288" s="1371"/>
      <c r="M288" s="1371"/>
      <c r="N288" s="1371"/>
      <c r="O288" s="1371"/>
      <c r="P288" s="1371"/>
      <c r="Q288" s="1371"/>
      <c r="R288" s="1371"/>
      <c r="T288" s="3" t="s">
        <v>471</v>
      </c>
      <c r="V288" s="3"/>
      <c r="W288" s="3"/>
      <c r="X288" s="3"/>
      <c r="Y288" s="3"/>
      <c r="AA288" s="1371" t="s">
        <v>2646</v>
      </c>
      <c r="AB288" s="1371"/>
      <c r="AC288" s="1371"/>
      <c r="AD288" s="1371"/>
      <c r="AE288" s="1371"/>
      <c r="AF288" s="1371"/>
      <c r="AG288" s="1371"/>
      <c r="AH288" s="1371"/>
      <c r="AI288" s="1371"/>
      <c r="AJ288" s="1371"/>
      <c r="AK288" s="1371"/>
    </row>
    <row r="289" spans="2:37" ht="12.95" customHeight="1">
      <c r="B289" s="3" t="s">
        <v>472</v>
      </c>
      <c r="C289" s="3"/>
      <c r="D289" s="3"/>
      <c r="E289" s="3"/>
      <c r="F289" s="3"/>
      <c r="H289" s="1371" t="s">
        <v>2644</v>
      </c>
      <c r="I289" s="1371"/>
      <c r="J289" s="1371"/>
      <c r="K289" s="1371"/>
      <c r="L289" s="1371"/>
      <c r="M289" s="1371"/>
      <c r="N289" s="1371"/>
      <c r="O289" s="1371"/>
      <c r="P289" s="1371"/>
      <c r="Q289" s="1371"/>
      <c r="R289" s="1371"/>
      <c r="T289" s="3" t="s">
        <v>75</v>
      </c>
      <c r="V289" s="3"/>
      <c r="W289" s="3"/>
      <c r="X289" s="3"/>
      <c r="Y289" s="3"/>
      <c r="AA289" s="1371" t="s">
        <v>2647</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2626</v>
      </c>
      <c r="I290" s="1371"/>
      <c r="J290" s="1371"/>
      <c r="K290" s="1371"/>
      <c r="L290" s="1371"/>
      <c r="M290" s="1371"/>
      <c r="N290" s="1371"/>
      <c r="O290" s="1371"/>
      <c r="P290" s="1371"/>
      <c r="Q290" s="1371"/>
      <c r="R290" s="1371"/>
      <c r="T290" s="3" t="s">
        <v>87</v>
      </c>
      <c r="V290" s="3"/>
      <c r="W290" s="3"/>
      <c r="X290" s="3"/>
      <c r="Y290" s="3"/>
      <c r="AA290" s="1371" t="s">
        <v>2648</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2" t="s">
        <v>2627</v>
      </c>
      <c r="I291" s="1542"/>
      <c r="J291" s="1542"/>
      <c r="K291" s="1542"/>
      <c r="L291" s="1542"/>
      <c r="M291" s="1542"/>
      <c r="N291" s="4" t="s">
        <v>206</v>
      </c>
      <c r="O291" s="4"/>
      <c r="P291" s="1525"/>
      <c r="Q291" s="1525"/>
      <c r="R291" s="1525"/>
      <c r="S291" s="3"/>
      <c r="T291" s="3" t="s">
        <v>88</v>
      </c>
      <c r="V291" s="3"/>
      <c r="W291" s="3"/>
      <c r="X291" s="3"/>
      <c r="Y291" s="3"/>
      <c r="AA291" s="1542" t="s">
        <v>2649</v>
      </c>
      <c r="AB291" s="1542"/>
      <c r="AC291" s="1542"/>
      <c r="AD291" s="1542"/>
      <c r="AE291" s="1542"/>
      <c r="AF291" s="1542"/>
      <c r="AG291" s="4" t="s">
        <v>206</v>
      </c>
      <c r="AH291" s="4"/>
      <c r="AI291" s="1525"/>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2628</v>
      </c>
      <c r="I293" s="1371"/>
      <c r="J293" s="1371"/>
      <c r="K293" s="1371"/>
      <c r="L293" s="1371"/>
      <c r="M293" s="1371"/>
      <c r="N293" s="1407"/>
      <c r="O293" s="1407"/>
      <c r="P293" s="1407"/>
      <c r="Q293" s="1407"/>
      <c r="R293" s="1407"/>
      <c r="S293" s="3"/>
      <c r="T293" s="3" t="s">
        <v>76</v>
      </c>
      <c r="V293" s="3"/>
      <c r="W293" s="3"/>
      <c r="X293" s="3"/>
      <c r="Y293" s="3"/>
      <c r="AA293" s="1371" t="s">
        <v>2650</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2651</v>
      </c>
      <c r="I295" s="1407"/>
      <c r="J295" s="1407"/>
      <c r="K295" s="1407"/>
      <c r="L295" s="1407"/>
      <c r="M295" s="1407"/>
      <c r="N295" s="1407"/>
      <c r="O295" s="1407"/>
      <c r="P295" s="1407"/>
      <c r="Q295" s="1407"/>
      <c r="R295" s="1407"/>
      <c r="T295" s="3" t="s">
        <v>364</v>
      </c>
      <c r="V295" s="3"/>
      <c r="W295" s="3"/>
      <c r="X295" s="3"/>
      <c r="Y295" s="3"/>
      <c r="AA295" s="1407" t="s">
        <v>2657</v>
      </c>
      <c r="AB295" s="1407"/>
      <c r="AC295" s="1407"/>
      <c r="AD295" s="1407"/>
      <c r="AE295" s="1407"/>
      <c r="AF295" s="1407"/>
      <c r="AG295" s="1407"/>
      <c r="AH295" s="1407"/>
      <c r="AI295" s="1407"/>
      <c r="AJ295" s="1407"/>
      <c r="AK295" s="1407"/>
    </row>
    <row r="296" spans="2:37" ht="12.95" customHeight="1">
      <c r="B296" s="3" t="s">
        <v>471</v>
      </c>
      <c r="C296" s="3"/>
      <c r="D296" s="3"/>
      <c r="E296" s="3"/>
      <c r="F296" s="3"/>
      <c r="H296" s="1371" t="s">
        <v>2652</v>
      </c>
      <c r="I296" s="1371"/>
      <c r="J296" s="1371"/>
      <c r="K296" s="1371"/>
      <c r="L296" s="1371"/>
      <c r="M296" s="1371"/>
      <c r="N296" s="1371"/>
      <c r="O296" s="1371"/>
      <c r="P296" s="1371"/>
      <c r="Q296" s="1371"/>
      <c r="R296" s="1371"/>
      <c r="T296" s="3" t="s">
        <v>471</v>
      </c>
      <c r="V296" s="3"/>
      <c r="W296" s="3"/>
      <c r="X296" s="3"/>
      <c r="Y296" s="3"/>
      <c r="AA296" s="1371" t="s">
        <v>2658</v>
      </c>
      <c r="AB296" s="1371"/>
      <c r="AC296" s="1371"/>
      <c r="AD296" s="1371"/>
      <c r="AE296" s="1371"/>
      <c r="AF296" s="1371"/>
      <c r="AG296" s="1371"/>
      <c r="AH296" s="1371"/>
      <c r="AI296" s="1371"/>
      <c r="AJ296" s="1371"/>
      <c r="AK296" s="1371"/>
    </row>
    <row r="297" spans="2:37" ht="12.95" customHeight="1">
      <c r="B297" s="3" t="s">
        <v>472</v>
      </c>
      <c r="C297" s="3"/>
      <c r="D297" s="3"/>
      <c r="E297" s="3"/>
      <c r="F297" s="3"/>
      <c r="H297" s="1371" t="s">
        <v>2653</v>
      </c>
      <c r="I297" s="1371"/>
      <c r="J297" s="1371"/>
      <c r="K297" s="1371"/>
      <c r="L297" s="1371"/>
      <c r="M297" s="1371"/>
      <c r="N297" s="1371"/>
      <c r="O297" s="1371"/>
      <c r="P297" s="1371"/>
      <c r="Q297" s="1371"/>
      <c r="R297" s="1371"/>
      <c r="T297" s="3" t="s">
        <v>75</v>
      </c>
      <c r="V297" s="3"/>
      <c r="W297" s="3"/>
      <c r="X297" s="3"/>
      <c r="Y297" s="3"/>
      <c r="AA297" s="1371" t="s">
        <v>2659</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2654</v>
      </c>
      <c r="I298" s="1371"/>
      <c r="J298" s="1371"/>
      <c r="K298" s="1371"/>
      <c r="L298" s="1371"/>
      <c r="M298" s="1371"/>
      <c r="N298" s="1371"/>
      <c r="O298" s="1371"/>
      <c r="P298" s="1371"/>
      <c r="Q298" s="1371"/>
      <c r="R298" s="1371"/>
      <c r="T298" s="3" t="s">
        <v>87</v>
      </c>
      <c r="V298" s="3"/>
      <c r="W298" s="3"/>
      <c r="X298" s="3"/>
      <c r="Y298" s="3"/>
      <c r="AA298" s="1371" t="s">
        <v>2660</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2" t="s">
        <v>2655</v>
      </c>
      <c r="I299" s="1542"/>
      <c r="J299" s="1542"/>
      <c r="K299" s="1542"/>
      <c r="L299" s="1542"/>
      <c r="M299" s="1542"/>
      <c r="N299" s="4" t="s">
        <v>206</v>
      </c>
      <c r="O299" s="4"/>
      <c r="P299" s="1525"/>
      <c r="Q299" s="1525"/>
      <c r="R299" s="1525"/>
      <c r="S299" s="3"/>
      <c r="T299" s="3" t="s">
        <v>88</v>
      </c>
      <c r="V299" s="3"/>
      <c r="W299" s="3"/>
      <c r="X299" s="3"/>
      <c r="Y299" s="3"/>
      <c r="AA299" s="1542" t="s">
        <v>2661</v>
      </c>
      <c r="AB299" s="1542"/>
      <c r="AC299" s="1542"/>
      <c r="AD299" s="1542"/>
      <c r="AE299" s="1542"/>
      <c r="AF299" s="1542"/>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2656</v>
      </c>
      <c r="I301" s="1371"/>
      <c r="J301" s="1371"/>
      <c r="K301" s="1371"/>
      <c r="L301" s="1371"/>
      <c r="M301" s="1371"/>
      <c r="N301" s="1407"/>
      <c r="O301" s="1407"/>
      <c r="P301" s="1407"/>
      <c r="Q301" s="1407"/>
      <c r="R301" s="1407"/>
      <c r="S301" s="3"/>
      <c r="T301" s="3" t="s">
        <v>76</v>
      </c>
      <c r="V301" s="3"/>
      <c r="W301" s="3"/>
      <c r="X301" s="3"/>
      <c r="Y301" s="3"/>
      <c r="AA301" s="1371" t="s">
        <v>2662</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2756</v>
      </c>
      <c r="I303" s="1407"/>
      <c r="J303" s="1407"/>
      <c r="K303" s="1407"/>
      <c r="L303" s="1407"/>
      <c r="M303" s="1407"/>
      <c r="N303" s="1407"/>
      <c r="O303" s="1407"/>
      <c r="P303" s="1407"/>
      <c r="Q303" s="1407"/>
      <c r="R303" s="1407"/>
      <c r="T303" s="4" t="s">
        <v>878</v>
      </c>
      <c r="V303" s="3"/>
      <c r="W303" s="3"/>
      <c r="X303" s="3"/>
      <c r="Y303" s="3"/>
      <c r="AA303" s="1407" t="s">
        <v>2663</v>
      </c>
      <c r="AB303" s="1407"/>
      <c r="AC303" s="1407"/>
      <c r="AD303" s="1407"/>
      <c r="AE303" s="1407"/>
      <c r="AF303" s="1407"/>
      <c r="AG303" s="1407"/>
      <c r="AH303" s="1407"/>
      <c r="AI303" s="1407"/>
      <c r="AJ303" s="1407"/>
      <c r="AK303" s="1407"/>
    </row>
    <row r="304" spans="2:37" ht="12.95" customHeight="1">
      <c r="B304" s="3" t="s">
        <v>471</v>
      </c>
      <c r="C304" s="3"/>
      <c r="D304" s="3"/>
      <c r="E304" s="3"/>
      <c r="F304" s="3"/>
      <c r="H304" s="1371" t="s">
        <v>2757</v>
      </c>
      <c r="I304" s="1371"/>
      <c r="J304" s="1371"/>
      <c r="K304" s="1371"/>
      <c r="L304" s="1371"/>
      <c r="M304" s="1371"/>
      <c r="N304" s="1371"/>
      <c r="O304" s="1371"/>
      <c r="P304" s="1371"/>
      <c r="Q304" s="1371"/>
      <c r="R304" s="1371"/>
      <c r="T304" s="3" t="s">
        <v>471</v>
      </c>
      <c r="V304" s="3"/>
      <c r="W304" s="3"/>
      <c r="X304" s="3"/>
      <c r="Y304" s="3"/>
      <c r="AA304" s="1371" t="s">
        <v>2664</v>
      </c>
      <c r="AB304" s="1371"/>
      <c r="AC304" s="1371"/>
      <c r="AD304" s="1371"/>
      <c r="AE304" s="1371"/>
      <c r="AF304" s="1371"/>
      <c r="AG304" s="1371"/>
      <c r="AH304" s="1371"/>
      <c r="AI304" s="1371"/>
      <c r="AJ304" s="1371"/>
      <c r="AK304" s="1371"/>
    </row>
    <row r="305" spans="2:37" ht="12.95" customHeight="1">
      <c r="B305" s="3" t="s">
        <v>472</v>
      </c>
      <c r="C305" s="3"/>
      <c r="D305" s="3"/>
      <c r="E305" s="3"/>
      <c r="F305" s="3"/>
      <c r="H305" s="1371" t="s">
        <v>2758</v>
      </c>
      <c r="I305" s="1371"/>
      <c r="J305" s="1371"/>
      <c r="K305" s="1371"/>
      <c r="L305" s="1371"/>
      <c r="M305" s="1371"/>
      <c r="N305" s="1371"/>
      <c r="O305" s="1371"/>
      <c r="P305" s="1371"/>
      <c r="Q305" s="1371"/>
      <c r="R305" s="1371"/>
      <c r="T305" s="3" t="s">
        <v>75</v>
      </c>
      <c r="V305" s="3"/>
      <c r="W305" s="3"/>
      <c r="X305" s="3"/>
      <c r="Y305" s="3"/>
      <c r="AA305" s="1371" t="s">
        <v>2665</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2672</v>
      </c>
      <c r="I306" s="1371"/>
      <c r="J306" s="1371"/>
      <c r="K306" s="1371"/>
      <c r="L306" s="1371"/>
      <c r="M306" s="1371"/>
      <c r="N306" s="1371"/>
      <c r="O306" s="1371"/>
      <c r="P306" s="1371"/>
      <c r="Q306" s="1371"/>
      <c r="R306" s="1371"/>
      <c r="T306" s="3" t="s">
        <v>87</v>
      </c>
      <c r="V306" s="3"/>
      <c r="W306" s="3"/>
      <c r="X306" s="3"/>
      <c r="Y306" s="3"/>
      <c r="AA306" s="1371" t="s">
        <v>2666</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2" t="s">
        <v>2759</v>
      </c>
      <c r="I307" s="1542"/>
      <c r="J307" s="1542"/>
      <c r="K307" s="1542"/>
      <c r="L307" s="1542"/>
      <c r="M307" s="1542"/>
      <c r="N307" s="4" t="s">
        <v>206</v>
      </c>
      <c r="O307" s="4"/>
      <c r="P307" s="1525"/>
      <c r="Q307" s="1525"/>
      <c r="R307" s="1525"/>
      <c r="S307" s="3"/>
      <c r="T307" s="3" t="s">
        <v>88</v>
      </c>
      <c r="V307" s="3"/>
      <c r="W307" s="3"/>
      <c r="X307" s="3"/>
      <c r="Y307" s="3"/>
      <c r="AA307" s="1542" t="s">
        <v>2667</v>
      </c>
      <c r="AB307" s="1542"/>
      <c r="AC307" s="1542"/>
      <c r="AD307" s="1542"/>
      <c r="AE307" s="1542"/>
      <c r="AF307" s="1542"/>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2674</v>
      </c>
      <c r="I309" s="1371"/>
      <c r="J309" s="1371"/>
      <c r="K309" s="1371"/>
      <c r="L309" s="1371"/>
      <c r="M309" s="1371"/>
      <c r="N309" s="1407"/>
      <c r="O309" s="1407"/>
      <c r="P309" s="1407"/>
      <c r="Q309" s="1407"/>
      <c r="R309" s="1407"/>
      <c r="S309" s="3"/>
      <c r="T309" s="3" t="s">
        <v>76</v>
      </c>
      <c r="V309" s="3"/>
      <c r="W309" s="3"/>
      <c r="X309" s="3"/>
      <c r="Y309" s="3"/>
      <c r="AA309" s="1371" t="s">
        <v>2668</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7" t="s">
        <v>2756</v>
      </c>
      <c r="I311" s="1407"/>
      <c r="J311" s="1407"/>
      <c r="K311" s="1407"/>
      <c r="L311" s="1407"/>
      <c r="M311" s="1407"/>
      <c r="N311" s="1407"/>
      <c r="O311" s="1407"/>
      <c r="P311" s="1407"/>
      <c r="Q311" s="1407"/>
      <c r="R311" s="1407"/>
      <c r="S311" s="3"/>
      <c r="T311" s="3" t="s">
        <v>365</v>
      </c>
      <c r="V311" s="3"/>
      <c r="W311" s="3"/>
      <c r="X311" s="3"/>
      <c r="Y311" s="3"/>
      <c r="AA311" s="1407" t="s">
        <v>2675</v>
      </c>
      <c r="AB311" s="1407"/>
      <c r="AC311" s="1407"/>
      <c r="AD311" s="1407"/>
      <c r="AE311" s="1407"/>
      <c r="AF311" s="1407"/>
      <c r="AG311" s="1407"/>
      <c r="AH311" s="1407"/>
      <c r="AI311" s="1407"/>
      <c r="AJ311" s="1407"/>
      <c r="AK311" s="1407"/>
    </row>
    <row r="312" spans="2:37" ht="12.95" customHeight="1">
      <c r="B312" s="3" t="s">
        <v>471</v>
      </c>
      <c r="C312" s="3"/>
      <c r="D312" s="3"/>
      <c r="E312" s="3"/>
      <c r="F312" s="3"/>
      <c r="H312" s="1371" t="s">
        <v>2757</v>
      </c>
      <c r="I312" s="1371"/>
      <c r="J312" s="1371"/>
      <c r="K312" s="1371"/>
      <c r="L312" s="1371"/>
      <c r="M312" s="1371"/>
      <c r="N312" s="1371"/>
      <c r="O312" s="1371"/>
      <c r="P312" s="1371"/>
      <c r="Q312" s="1371"/>
      <c r="R312" s="1371"/>
      <c r="S312" s="3"/>
      <c r="T312" s="3" t="s">
        <v>471</v>
      </c>
      <c r="V312" s="3"/>
      <c r="W312" s="3"/>
      <c r="X312" s="3"/>
      <c r="Y312" s="3"/>
      <c r="AA312" s="1371" t="s">
        <v>2676</v>
      </c>
      <c r="AB312" s="1371"/>
      <c r="AC312" s="1371"/>
      <c r="AD312" s="1371"/>
      <c r="AE312" s="1371"/>
      <c r="AF312" s="1371"/>
      <c r="AG312" s="1371"/>
      <c r="AH312" s="1371"/>
      <c r="AI312" s="1371"/>
      <c r="AJ312" s="1371"/>
      <c r="AK312" s="1371"/>
    </row>
    <row r="313" spans="2:37" ht="12.95" customHeight="1">
      <c r="B313" s="3" t="s">
        <v>472</v>
      </c>
      <c r="C313" s="3"/>
      <c r="D313" s="3"/>
      <c r="E313" s="3"/>
      <c r="F313" s="3"/>
      <c r="H313" s="1371" t="s">
        <v>2758</v>
      </c>
      <c r="I313" s="1371"/>
      <c r="J313" s="1371"/>
      <c r="K313" s="1371"/>
      <c r="L313" s="1371"/>
      <c r="M313" s="1371"/>
      <c r="N313" s="1371"/>
      <c r="O313" s="1371"/>
      <c r="P313" s="1371"/>
      <c r="Q313" s="1371"/>
      <c r="R313" s="1371"/>
      <c r="S313" s="3"/>
      <c r="T313" s="3" t="s">
        <v>75</v>
      </c>
      <c r="V313" s="3"/>
      <c r="W313" s="3"/>
      <c r="X313" s="3"/>
      <c r="Y313" s="3"/>
      <c r="AA313" s="1371" t="s">
        <v>2677</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2672</v>
      </c>
      <c r="I314" s="1371"/>
      <c r="J314" s="1371"/>
      <c r="K314" s="1371"/>
      <c r="L314" s="1371"/>
      <c r="M314" s="1371"/>
      <c r="N314" s="1371"/>
      <c r="O314" s="1371"/>
      <c r="P314" s="1371"/>
      <c r="Q314" s="1371"/>
      <c r="R314" s="1371"/>
      <c r="S314" s="3"/>
      <c r="T314" s="3" t="s">
        <v>87</v>
      </c>
      <c r="V314" s="3"/>
      <c r="W314" s="3"/>
      <c r="X314" s="3"/>
      <c r="Y314" s="3"/>
      <c r="AA314" s="1371" t="s">
        <v>2678</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2" t="s">
        <v>2759</v>
      </c>
      <c r="I315" s="1542"/>
      <c r="J315" s="1542"/>
      <c r="K315" s="1542"/>
      <c r="L315" s="1542"/>
      <c r="M315" s="1542"/>
      <c r="N315" s="4" t="s">
        <v>206</v>
      </c>
      <c r="O315" s="4"/>
      <c r="P315" s="1525"/>
      <c r="Q315" s="1525"/>
      <c r="R315" s="1525"/>
      <c r="S315" s="3"/>
      <c r="T315" s="3" t="s">
        <v>88</v>
      </c>
      <c r="V315" s="3"/>
      <c r="W315" s="3"/>
      <c r="X315" s="3"/>
      <c r="Y315" s="3"/>
      <c r="AA315" s="1542" t="s">
        <v>2679</v>
      </c>
      <c r="AB315" s="1542"/>
      <c r="AC315" s="1542"/>
      <c r="AD315" s="1542"/>
      <c r="AE315" s="1542"/>
      <c r="AF315" s="1542"/>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2674</v>
      </c>
      <c r="I317" s="1371"/>
      <c r="J317" s="1371"/>
      <c r="K317" s="1371"/>
      <c r="L317" s="1371"/>
      <c r="M317" s="1371"/>
      <c r="N317" s="1407"/>
      <c r="O317" s="1407"/>
      <c r="P317" s="1407"/>
      <c r="Q317" s="1407"/>
      <c r="R317" s="1407"/>
      <c r="S317" s="3"/>
      <c r="T317" s="3" t="s">
        <v>76</v>
      </c>
      <c r="V317" s="3"/>
      <c r="W317" s="3"/>
      <c r="X317" s="3"/>
      <c r="Y317" s="3"/>
      <c r="AA317" s="1371" t="s">
        <v>2680</v>
      </c>
      <c r="AB317" s="1371"/>
      <c r="AC317" s="1371"/>
      <c r="AD317" s="1371"/>
      <c r="AE317" s="1371"/>
      <c r="AF317" s="1371"/>
      <c r="AG317" s="1407"/>
      <c r="AH317" s="1407"/>
      <c r="AI317" s="1407"/>
      <c r="AJ317" s="1407"/>
      <c r="AK317" s="1407"/>
    </row>
    <row r="318" spans="2:37" ht="12.95" customHeight="1"/>
    <row r="319" spans="2:37" ht="12.95" customHeight="1">
      <c r="B319" s="4" t="s">
        <v>908</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2669</v>
      </c>
      <c r="AB319" s="1407"/>
      <c r="AC319" s="1407"/>
      <c r="AD319" s="1407"/>
      <c r="AE319" s="1407"/>
      <c r="AF319" s="1407"/>
      <c r="AG319" s="1407"/>
      <c r="AH319" s="1407"/>
      <c r="AI319" s="1407"/>
      <c r="AJ319" s="1407"/>
      <c r="AK319" s="1407"/>
    </row>
    <row r="320" spans="2:37" ht="12.95"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2670</v>
      </c>
      <c r="AB320" s="1371"/>
      <c r="AC320" s="1371"/>
      <c r="AD320" s="1371"/>
      <c r="AE320" s="1371"/>
      <c r="AF320" s="1371"/>
      <c r="AG320" s="1371"/>
      <c r="AH320" s="1371"/>
      <c r="AI320" s="1371"/>
      <c r="AJ320" s="1371"/>
      <c r="AK320" s="1371"/>
    </row>
    <row r="321" spans="2:37" ht="12.95"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2671</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2672</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2"/>
      <c r="I323" s="1542"/>
      <c r="J323" s="1542"/>
      <c r="K323" s="1542"/>
      <c r="L323" s="1542"/>
      <c r="M323" s="1542"/>
      <c r="N323" s="4" t="s">
        <v>206</v>
      </c>
      <c r="O323" s="4"/>
      <c r="P323" s="1525"/>
      <c r="Q323" s="1525"/>
      <c r="R323" s="1525"/>
      <c r="S323" s="3"/>
      <c r="T323" s="3" t="s">
        <v>88</v>
      </c>
      <c r="V323" s="3"/>
      <c r="W323" s="3"/>
      <c r="X323" s="3"/>
      <c r="Y323" s="3"/>
      <c r="AA323" s="1542" t="s">
        <v>2673</v>
      </c>
      <c r="AB323" s="1542"/>
      <c r="AC323" s="1542"/>
      <c r="AD323" s="1542"/>
      <c r="AE323" s="1542"/>
      <c r="AF323" s="1542"/>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2674</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2669</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471</v>
      </c>
      <c r="C328" s="3"/>
      <c r="D328" s="3"/>
      <c r="E328" s="3"/>
      <c r="F328" s="3"/>
      <c r="H328" s="1371" t="s">
        <v>2670</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5" customHeight="1">
      <c r="B329" s="3" t="s">
        <v>472</v>
      </c>
      <c r="C329" s="3"/>
      <c r="D329" s="3"/>
      <c r="E329" s="3"/>
      <c r="F329" s="3"/>
      <c r="H329" s="1371" t="s">
        <v>2671</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2760</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2" t="s">
        <v>2761</v>
      </c>
      <c r="I331" s="1542"/>
      <c r="J331" s="1542"/>
      <c r="K331" s="1542"/>
      <c r="L331" s="1542"/>
      <c r="M331" s="1542"/>
      <c r="N331" s="4" t="s">
        <v>206</v>
      </c>
      <c r="O331" s="4"/>
      <c r="P331" s="1525"/>
      <c r="Q331" s="1525"/>
      <c r="R331" s="1525"/>
      <c r="S331" s="3"/>
      <c r="T331" s="3" t="s">
        <v>88</v>
      </c>
      <c r="V331" s="3"/>
      <c r="W331" s="3"/>
      <c r="X331" s="3"/>
      <c r="Y331" s="3"/>
      <c r="AA331" s="1542"/>
      <c r="AB331" s="1542"/>
      <c r="AC331" s="1542"/>
      <c r="AD331" s="1542"/>
      <c r="AE331" s="1542"/>
      <c r="AF331" s="1542"/>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2681</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2682</v>
      </c>
      <c r="I335" s="1407"/>
      <c r="J335" s="1407"/>
      <c r="K335" s="1407"/>
      <c r="L335" s="1407"/>
      <c r="M335" s="1407"/>
      <c r="N335" s="1407"/>
      <c r="O335" s="1407"/>
      <c r="P335" s="1407"/>
      <c r="Q335" s="1407"/>
      <c r="R335" s="1407"/>
      <c r="T335" s="204" t="s">
        <v>886</v>
      </c>
      <c r="V335" s="3"/>
      <c r="W335" s="3"/>
      <c r="X335" s="3"/>
      <c r="Y335" s="3"/>
      <c r="AA335" s="1407" t="s">
        <v>2685</v>
      </c>
      <c r="AB335" s="1407"/>
      <c r="AC335" s="1407"/>
      <c r="AD335" s="1407"/>
      <c r="AE335" s="1407"/>
      <c r="AF335" s="1407"/>
      <c r="AG335" s="1407"/>
      <c r="AH335" s="1407"/>
      <c r="AI335" s="1407"/>
      <c r="AJ335" s="1407"/>
      <c r="AK335" s="1407"/>
    </row>
    <row r="336" spans="2:37" ht="12.95" customHeight="1">
      <c r="B336" s="3" t="s">
        <v>471</v>
      </c>
      <c r="C336" s="3"/>
      <c r="D336" s="3"/>
      <c r="E336" s="3"/>
      <c r="F336" s="3"/>
      <c r="H336" s="1371" t="s">
        <v>2683</v>
      </c>
      <c r="I336" s="1371"/>
      <c r="J336" s="1371"/>
      <c r="K336" s="1371"/>
      <c r="L336" s="1371"/>
      <c r="M336" s="1371"/>
      <c r="N336" s="1371"/>
      <c r="O336" s="1371"/>
      <c r="P336" s="1371"/>
      <c r="Q336" s="1371"/>
      <c r="R336" s="1371"/>
      <c r="T336" s="3" t="s">
        <v>471</v>
      </c>
      <c r="V336" s="3"/>
      <c r="W336" s="3"/>
      <c r="X336" s="3"/>
      <c r="Y336" s="3"/>
      <c r="AA336" s="1371" t="s">
        <v>2686</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2684</v>
      </c>
      <c r="I337" s="1371"/>
      <c r="J337" s="1371"/>
      <c r="K337" s="1371"/>
      <c r="L337" s="1371"/>
      <c r="M337" s="1371"/>
      <c r="N337" s="1371"/>
      <c r="O337" s="1371"/>
      <c r="P337" s="1371"/>
      <c r="Q337" s="1371"/>
      <c r="R337" s="1371"/>
      <c r="T337" s="3" t="s">
        <v>75</v>
      </c>
      <c r="V337" s="3"/>
      <c r="W337" s="3"/>
      <c r="X337" s="3"/>
      <c r="Y337" s="3"/>
      <c r="AA337" s="1371" t="s">
        <v>2687</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2762</v>
      </c>
      <c r="I338" s="1371"/>
      <c r="J338" s="1371"/>
      <c r="K338" s="1371"/>
      <c r="L338" s="1371"/>
      <c r="M338" s="1371"/>
      <c r="N338" s="1371"/>
      <c r="O338" s="1371"/>
      <c r="P338" s="1371"/>
      <c r="Q338" s="1371"/>
      <c r="R338" s="1371"/>
      <c r="T338" s="3" t="s">
        <v>87</v>
      </c>
      <c r="V338" s="3"/>
      <c r="W338" s="3"/>
      <c r="X338" s="3"/>
      <c r="Y338" s="3"/>
      <c r="AA338" s="1371" t="s">
        <v>2688</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78" t="s">
        <v>2763</v>
      </c>
      <c r="I339" s="1542"/>
      <c r="J339" s="1542"/>
      <c r="K339" s="1542"/>
      <c r="L339" s="1542"/>
      <c r="M339" s="1542"/>
      <c r="N339" s="4" t="s">
        <v>206</v>
      </c>
      <c r="O339" s="4"/>
      <c r="P339" s="1525"/>
      <c r="Q339" s="1525"/>
      <c r="R339" s="1525"/>
      <c r="S339" s="3"/>
      <c r="T339" s="3" t="s">
        <v>88</v>
      </c>
      <c r="V339" s="3"/>
      <c r="W339" s="3"/>
      <c r="X339" s="3"/>
      <c r="Y339" s="3"/>
      <c r="AA339" s="1542" t="s">
        <v>2689</v>
      </c>
      <c r="AB339" s="1542"/>
      <c r="AC339" s="1542"/>
      <c r="AD339" s="1542"/>
      <c r="AE339" s="1542"/>
      <c r="AF339" s="1542"/>
      <c r="AG339" s="4" t="s">
        <v>206</v>
      </c>
      <c r="AH339" s="4"/>
      <c r="AI339" s="1525"/>
      <c r="AJ339" s="1525"/>
      <c r="AK339" s="1525"/>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2764</v>
      </c>
      <c r="I341" s="1371"/>
      <c r="J341" s="1371"/>
      <c r="K341" s="1371"/>
      <c r="L341" s="1371"/>
      <c r="M341" s="1371"/>
      <c r="N341" s="1407"/>
      <c r="O341" s="1407"/>
      <c r="P341" s="1407"/>
      <c r="Q341" s="1407"/>
      <c r="R341" s="1407"/>
      <c r="S341" s="3"/>
      <c r="T341" s="3" t="s">
        <v>76</v>
      </c>
      <c r="V341" s="3"/>
      <c r="W341" s="3"/>
      <c r="X341" s="3"/>
      <c r="Y341" s="3"/>
      <c r="AA341" s="1371" t="s">
        <v>2690</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415" t="s">
        <v>545</v>
      </c>
      <c r="N355" s="1415"/>
      <c r="P355" t="s">
        <v>1650</v>
      </c>
      <c r="AJ355" s="1415" t="s">
        <v>545</v>
      </c>
      <c r="AK355" s="1415"/>
    </row>
    <row r="356" spans="1:46" ht="12.95" customHeight="1">
      <c r="D356" s="3" t="s">
        <v>1639</v>
      </c>
      <c r="M356" s="1415" t="s">
        <v>591</v>
      </c>
      <c r="N356" s="1415"/>
      <c r="P356" s="3" t="s">
        <v>1719</v>
      </c>
      <c r="AJ356" s="1382">
        <v>0</v>
      </c>
      <c r="AK356" s="1382"/>
    </row>
    <row r="357" spans="1:46" ht="12.95" customHeight="1">
      <c r="D357" s="3" t="s">
        <v>704</v>
      </c>
      <c r="M357" s="1415" t="s">
        <v>591</v>
      </c>
      <c r="N357" s="1415"/>
      <c r="P357" t="s">
        <v>1649</v>
      </c>
      <c r="AJ357" s="1415" t="s">
        <v>591</v>
      </c>
      <c r="AK357" s="1415"/>
    </row>
    <row r="358" spans="1:46" ht="12.95" customHeight="1">
      <c r="D358" s="3" t="s">
        <v>705</v>
      </c>
      <c r="M358" s="1415" t="s">
        <v>591</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5" customHeight="1">
      <c r="E364" t="s">
        <v>370</v>
      </c>
      <c r="Y364" s="1415" t="s">
        <v>591</v>
      </c>
      <c r="Z364" s="1415"/>
    </row>
    <row r="365" spans="1:46" ht="12.95"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2.95"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3"/>
      <c r="T377" s="1443"/>
      <c r="U377" s="1" t="s">
        <v>306</v>
      </c>
      <c r="V377" s="1443"/>
      <c r="W377" s="1443"/>
      <c r="Y377" t="s">
        <v>2079</v>
      </c>
      <c r="AC377" s="27" t="s">
        <v>305</v>
      </c>
      <c r="AD377" s="1443"/>
      <c r="AE377" s="1443"/>
      <c r="AF377" s="1" t="s">
        <v>306</v>
      </c>
      <c r="AG377" s="1443"/>
      <c r="AH377" s="1443"/>
    </row>
    <row r="378" spans="1:34" ht="12.95" customHeight="1">
      <c r="E378" s="4" t="s">
        <v>987</v>
      </c>
      <c r="F378" s="4"/>
      <c r="G378" s="4"/>
      <c r="H378" s="4"/>
      <c r="I378" s="4"/>
      <c r="J378" s="4"/>
      <c r="K378" s="4"/>
      <c r="L378" s="4"/>
      <c r="N378" s="1443"/>
      <c r="O378" s="1443"/>
      <c r="P378" s="1443"/>
    </row>
    <row r="379" spans="1:34" ht="12.95" customHeight="1">
      <c r="E379" s="204" t="s">
        <v>2085</v>
      </c>
      <c r="F379" s="4"/>
      <c r="G379" s="4"/>
      <c r="H379" s="4"/>
      <c r="I379" s="4"/>
      <c r="J379" s="4"/>
      <c r="K379" s="4"/>
      <c r="L379" s="4"/>
      <c r="AG379" s="1446" t="s">
        <v>591</v>
      </c>
      <c r="AH379" s="1446"/>
    </row>
    <row r="380" spans="1:34" ht="12.95" customHeight="1">
      <c r="E380" s="4"/>
      <c r="F380" s="4"/>
      <c r="G380" s="4" t="s">
        <v>2086</v>
      </c>
      <c r="H380" s="4"/>
      <c r="I380" s="4"/>
      <c r="J380" s="4"/>
      <c r="K380" s="4"/>
      <c r="L380" s="4"/>
      <c r="AG380" s="1446" t="s">
        <v>591</v>
      </c>
      <c r="AH380" s="1446"/>
    </row>
    <row r="381" spans="1:34" ht="12.95" customHeight="1">
      <c r="E381" s="4"/>
      <c r="F381" s="4"/>
      <c r="G381" s="320" t="s">
        <v>988</v>
      </c>
      <c r="H381" s="4"/>
      <c r="I381" s="4"/>
      <c r="J381" s="4"/>
      <c r="K381" s="4"/>
      <c r="L381" s="4"/>
      <c r="V381" s="1415" t="s">
        <v>591</v>
      </c>
      <c r="W381" s="1415"/>
      <c r="Y381" s="22" t="s">
        <v>980</v>
      </c>
    </row>
    <row r="382" spans="1:34" ht="12.95" customHeight="1">
      <c r="E382" s="4" t="s">
        <v>981</v>
      </c>
      <c r="F382" s="4"/>
      <c r="G382" s="4"/>
      <c r="H382" s="4"/>
      <c r="I382" s="4"/>
      <c r="J382" s="4"/>
      <c r="K382" s="4"/>
      <c r="L382" s="4"/>
      <c r="V382" s="1415" t="s">
        <v>591</v>
      </c>
      <c r="W382" s="1415"/>
      <c r="Y382" s="4" t="s">
        <v>982</v>
      </c>
    </row>
    <row r="383" spans="1:34" ht="12.95" customHeight="1"/>
    <row r="384" spans="1:34" ht="12.95" customHeight="1">
      <c r="A384" s="2" t="s">
        <v>78</v>
      </c>
      <c r="B384" s="2"/>
    </row>
    <row r="385" spans="4:36" ht="12.95" customHeight="1">
      <c r="D385" t="s">
        <v>428</v>
      </c>
      <c r="J385" s="1407" t="s">
        <v>2691</v>
      </c>
      <c r="K385" s="1407"/>
      <c r="L385" s="1407"/>
      <c r="M385" s="1407"/>
      <c r="N385" s="1407"/>
      <c r="O385" s="1407"/>
      <c r="P385" s="1407"/>
      <c r="Q385" s="1407"/>
      <c r="R385" s="1407"/>
      <c r="S385" s="1407"/>
      <c r="T385" s="1407"/>
      <c r="U385" s="1407"/>
      <c r="V385" s="8" t="s">
        <v>83</v>
      </c>
      <c r="W385" s="8"/>
      <c r="X385" s="8"/>
      <c r="Y385" s="8"/>
      <c r="Z385" s="8"/>
      <c r="AA385" s="8"/>
      <c r="AB385" s="8"/>
      <c r="AC385" s="1407" t="s">
        <v>2692</v>
      </c>
      <c r="AD385" s="1407"/>
      <c r="AE385" s="1407"/>
      <c r="AF385" s="1407"/>
      <c r="AG385" s="1407"/>
      <c r="AH385" s="1407"/>
      <c r="AI385" s="1407"/>
      <c r="AJ385" s="1407"/>
    </row>
    <row r="386" spans="4:36" ht="12.95" customHeight="1">
      <c r="D386" s="3" t="s">
        <v>1182</v>
      </c>
      <c r="J386" s="1371" t="s">
        <v>2692</v>
      </c>
      <c r="K386" s="1371"/>
      <c r="L386" s="1371"/>
      <c r="M386" s="1371"/>
      <c r="N386" s="1371"/>
      <c r="O386" s="1371"/>
      <c r="P386" s="1371"/>
      <c r="Q386" s="1371"/>
      <c r="R386" s="1371"/>
      <c r="S386" s="1371"/>
      <c r="T386" s="1371"/>
      <c r="U386" s="1371"/>
      <c r="V386" s="3" t="s">
        <v>1182</v>
      </c>
      <c r="W386" s="8"/>
      <c r="X386" s="8"/>
      <c r="Y386" s="8"/>
      <c r="Z386" s="8"/>
      <c r="AA386" s="8"/>
      <c r="AB386" s="8"/>
      <c r="AC386" s="1407" t="s">
        <v>2692</v>
      </c>
      <c r="AD386" s="1407"/>
      <c r="AE386" s="1407"/>
      <c r="AF386" s="1407"/>
      <c r="AG386" s="1407"/>
      <c r="AH386" s="1407"/>
      <c r="AI386" s="1407"/>
      <c r="AJ386" s="1407"/>
    </row>
    <row r="387" spans="4:36" ht="12.95" customHeight="1">
      <c r="D387" s="3" t="s">
        <v>441</v>
      </c>
      <c r="J387" s="1371"/>
      <c r="K387" s="1371"/>
      <c r="L387" s="1371"/>
      <c r="M387" s="1371"/>
      <c r="N387" s="1371"/>
      <c r="O387" s="1371"/>
      <c r="P387" s="1371"/>
      <c r="Q387" s="1371"/>
      <c r="R387" s="1371"/>
      <c r="S387" s="1371"/>
      <c r="T387" s="1371"/>
      <c r="U387" s="1371"/>
      <c r="V387" s="3" t="s">
        <v>441</v>
      </c>
      <c r="W387" s="8"/>
      <c r="X387" s="8"/>
      <c r="Y387" s="8"/>
      <c r="Z387" s="8"/>
      <c r="AA387" s="8"/>
      <c r="AB387" s="8"/>
      <c r="AC387" s="1407"/>
      <c r="AD387" s="1407"/>
      <c r="AE387" s="1407"/>
      <c r="AF387" s="1407"/>
      <c r="AG387" s="1407"/>
      <c r="AH387" s="1407"/>
      <c r="AI387" s="1407"/>
      <c r="AJ387" s="1407"/>
    </row>
    <row r="388" spans="4:36" ht="12.95" customHeight="1">
      <c r="D388" t="s">
        <v>1178</v>
      </c>
      <c r="J388" s="1427" t="s">
        <v>2693</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89">
        <v>45527</v>
      </c>
      <c r="R389" s="1589"/>
      <c r="S389" s="1589"/>
      <c r="T389" s="1589"/>
      <c r="U389" s="1589"/>
      <c r="V389" t="s">
        <v>309</v>
      </c>
      <c r="AI389" s="1415" t="s">
        <v>545</v>
      </c>
      <c r="AJ389" s="1415"/>
    </row>
    <row r="390" spans="4:36" ht="12.95" customHeight="1">
      <c r="D390" t="s">
        <v>5</v>
      </c>
      <c r="Q390" s="1520">
        <v>46387</v>
      </c>
      <c r="R390" s="1521"/>
      <c r="S390" s="1521"/>
      <c r="T390" s="1521"/>
      <c r="U390" s="1521"/>
      <c r="W390" s="21" t="s">
        <v>74</v>
      </c>
      <c r="AG390" s="1448"/>
      <c r="AH390" s="1448"/>
      <c r="AI390" s="1448"/>
      <c r="AJ390" s="1448"/>
    </row>
    <row r="391" spans="4:36" ht="12.95" customHeight="1">
      <c r="D391" t="s">
        <v>427</v>
      </c>
      <c r="Q391" s="1449">
        <v>4550000</v>
      </c>
      <c r="R391" s="1449"/>
      <c r="S391" s="1449"/>
      <c r="T391" s="1449"/>
      <c r="U391" s="1449"/>
      <c r="V391" s="3" t="s">
        <v>1181</v>
      </c>
      <c r="AG391" s="1518">
        <v>46174</v>
      </c>
      <c r="AH391" s="1518"/>
      <c r="AI391" s="1518"/>
      <c r="AJ391" s="1518"/>
    </row>
    <row r="392" spans="4:36" ht="12.95" customHeight="1">
      <c r="D392" t="s">
        <v>88</v>
      </c>
      <c r="I392" s="1542"/>
      <c r="J392" s="1542"/>
      <c r="K392" s="1542"/>
      <c r="L392" s="1542"/>
      <c r="M392" s="1542"/>
      <c r="N392" s="1542"/>
      <c r="Q392" s="4" t="s">
        <v>206</v>
      </c>
      <c r="S392" s="1447"/>
      <c r="T392" s="1447"/>
      <c r="U392" s="1447"/>
      <c r="V392" t="s">
        <v>73</v>
      </c>
      <c r="AI392" s="1415" t="s">
        <v>669</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9"/>
      <c r="R394" s="1579"/>
      <c r="S394" s="1579"/>
      <c r="T394" s="1579"/>
      <c r="U394" s="1579"/>
      <c r="V394" t="s">
        <v>1163</v>
      </c>
      <c r="AG394" s="1448"/>
      <c r="AH394" s="1448"/>
      <c r="AI394" s="1448"/>
      <c r="AJ394" s="1448"/>
    </row>
    <row r="395" spans="4:36" ht="12.95" customHeight="1">
      <c r="D395" t="s">
        <v>1162</v>
      </c>
      <c r="AG395" s="1448"/>
      <c r="AH395" s="1448"/>
      <c r="AI395" s="1448"/>
      <c r="AJ395" s="1448"/>
    </row>
    <row r="396" spans="4:36" ht="12.95" customHeight="1">
      <c r="AG396" s="456"/>
      <c r="AH396" s="456"/>
      <c r="AI396" s="456"/>
      <c r="AJ396" s="456"/>
    </row>
    <row r="397" spans="4:36" ht="12.95" customHeight="1">
      <c r="D397" s="3" t="s">
        <v>2142</v>
      </c>
      <c r="AG397" s="456"/>
      <c r="AH397" s="456"/>
      <c r="AI397" s="1415" t="s">
        <v>669</v>
      </c>
      <c r="AJ397" s="1415"/>
    </row>
    <row r="398" spans="4:36" ht="12.9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1660</v>
      </c>
      <c r="S401" s="1434" t="s">
        <v>669</v>
      </c>
      <c r="T401" s="1434"/>
      <c r="U401" s="1434"/>
      <c r="V401" t="s">
        <v>1661</v>
      </c>
      <c r="AG401" s="1523"/>
      <c r="AH401" s="1523"/>
      <c r="AI401" s="1523"/>
      <c r="AJ401" s="1523"/>
    </row>
    <row r="402" spans="1:36" ht="12.95" customHeight="1">
      <c r="D402" s="3" t="s">
        <v>1658</v>
      </c>
      <c r="S402" s="1434" t="s">
        <v>591</v>
      </c>
      <c r="T402" s="1434"/>
      <c r="U402" s="1434"/>
      <c r="V402" t="s">
        <v>1663</v>
      </c>
      <c r="AE402" s="1517"/>
      <c r="AF402" s="1517"/>
      <c r="AG402" s="1517"/>
      <c r="AH402" s="1517"/>
      <c r="AI402" s="1517"/>
      <c r="AJ402" s="1517"/>
    </row>
    <row r="403" spans="1:36" ht="12.9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522" t="s">
        <v>2737</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545</v>
      </c>
      <c r="S411" s="1415"/>
      <c r="AC411" s="27" t="s">
        <v>570</v>
      </c>
      <c r="AD411" s="1390">
        <v>8</v>
      </c>
      <c r="AE411" s="1390"/>
    </row>
    <row r="412" spans="1:36" ht="12.95" customHeight="1">
      <c r="E412" t="s">
        <v>107</v>
      </c>
      <c r="R412" s="1415" t="s">
        <v>591</v>
      </c>
      <c r="S412" s="1415"/>
      <c r="AC412" s="27" t="s">
        <v>570</v>
      </c>
      <c r="AD412" s="1390"/>
      <c r="AE412" s="1390"/>
    </row>
    <row r="413" spans="1:36" ht="12.95" customHeight="1">
      <c r="E413" t="s">
        <v>108</v>
      </c>
      <c r="S413" s="1415" t="s">
        <v>591</v>
      </c>
      <c r="T413" s="1415"/>
    </row>
    <row r="414" spans="1:36" ht="12.95" customHeight="1">
      <c r="E414" t="s">
        <v>170</v>
      </c>
      <c r="H414" s="1580" t="s">
        <v>2694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2.95"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583">
        <v>0.36</v>
      </c>
      <c r="Q418" s="1583"/>
      <c r="R418" s="1583"/>
      <c r="S418" t="s">
        <v>117</v>
      </c>
      <c r="W418" s="1444">
        <f>IF(E418&gt;0,(E418*I418),(P418*43560))</f>
        <v>15681.599999999999</v>
      </c>
      <c r="X418" s="1444"/>
      <c r="Y418" s="1444"/>
      <c r="Z418" t="s">
        <v>118</v>
      </c>
      <c r="AF418" s="1584">
        <f>IFERROR(IF(P418&gt;0,(AG437/P418),(AG437/(W418/43560))),0)</f>
        <v>180.55555555555557</v>
      </c>
      <c r="AG418" s="1584"/>
      <c r="AH418" s="1584"/>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1736</v>
      </c>
      <c r="F421" s="1013"/>
      <c r="G421" s="1013"/>
      <c r="H421" s="1013"/>
      <c r="I421" s="1582">
        <v>0.36</v>
      </c>
      <c r="J421" s="1582"/>
      <c r="K421" s="1582"/>
      <c r="L421" s="1013"/>
      <c r="M421" s="118"/>
      <c r="N421" s="1013"/>
      <c r="O421" s="1013"/>
      <c r="P421" s="1835">
        <f>(DU755+DU778+DU800)/I421</f>
        <v>325</v>
      </c>
      <c r="Q421" s="1835"/>
      <c r="R421" s="1835"/>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591</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608</v>
      </c>
      <c r="P429" s="1"/>
      <c r="Q429" s="1415" t="s">
        <v>545</v>
      </c>
      <c r="R429" s="1415"/>
    </row>
    <row r="430" spans="1:39" ht="12.95" customHeight="1">
      <c r="F430" t="s">
        <v>609</v>
      </c>
      <c r="P430" s="1"/>
      <c r="Q430" s="1"/>
      <c r="AF430" s="1415" t="s">
        <v>591</v>
      </c>
      <c r="AG430" s="1505"/>
    </row>
    <row r="431" spans="1:39" ht="12.95" customHeight="1"/>
    <row r="432" spans="1:39" ht="12.95" customHeight="1">
      <c r="A432" s="2"/>
      <c r="B432" s="2"/>
      <c r="C432" s="2"/>
      <c r="E432" s="4" t="s">
        <v>308</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65</v>
      </c>
      <c r="AH437" s="1385"/>
      <c r="AI437" s="1385"/>
      <c r="AJ437" s="1385"/>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64</v>
      </c>
      <c r="AH439" s="1385"/>
      <c r="AI439" s="1385"/>
      <c r="AJ439" s="1385"/>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64</v>
      </c>
      <c r="AH440" s="1385"/>
      <c r="AI440" s="1385"/>
      <c r="AJ440" s="1385"/>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39199</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39199</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f>5686-1694</f>
        <v>3992</v>
      </c>
      <c r="AH446" s="1416"/>
      <c r="AI446" s="1416"/>
      <c r="AJ446" s="1416"/>
      <c r="AZ446" s="34"/>
      <c r="BA446" s="34"/>
      <c r="BB446" s="34"/>
      <c r="BC446" s="34"/>
    </row>
    <row r="447" spans="1:55" ht="12.95"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671">
        <f>35948+1694</f>
        <v>37642</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5" t="s">
        <v>1039</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29">
        <f>AG442+AG446+AG448+AG449</f>
        <v>80833</v>
      </c>
      <c r="AH450" s="1429"/>
      <c r="AI450" s="1429"/>
      <c r="AJ450" s="1429"/>
      <c r="AZ450" s="3"/>
      <c r="BA450" s="3"/>
      <c r="BB450" s="3"/>
      <c r="BC450" s="3"/>
    </row>
    <row r="451" spans="1:55" ht="12.95" customHeight="1">
      <c r="D451" s="1585" t="s">
        <v>1206</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row>
    <row r="452" spans="1:55" ht="12.95"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880581.8</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880581.8</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768524.43076923082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17</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10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2"/>
      <c r="H474" s="1673"/>
      <c r="I474" s="1673"/>
      <c r="J474" s="1673"/>
      <c r="K474" s="1673"/>
      <c r="L474" s="1673"/>
      <c r="M474" s="1673"/>
      <c r="N474" s="1673"/>
      <c r="O474" s="1673"/>
      <c r="P474" s="1673"/>
      <c r="Q474" s="1673"/>
      <c r="R474" s="1673"/>
      <c r="S474" s="1673"/>
      <c r="T474" s="1673"/>
      <c r="U474" s="1673"/>
      <c r="V474" s="1674"/>
      <c r="W474" s="1391"/>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2738</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t="s">
        <v>2739</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2696</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0"/>
      <c r="T490" s="1529"/>
      <c r="U490" s="1529"/>
      <c r="V490" s="1529"/>
      <c r="W490" s="1529"/>
      <c r="X490" s="1529"/>
      <c r="Y490" s="1529"/>
      <c r="Z490" s="1529"/>
      <c r="AA490" s="1529"/>
      <c r="AB490" s="1529"/>
      <c r="AC490" s="1529"/>
      <c r="AD490" s="1529"/>
      <c r="AE490" s="1529"/>
      <c r="AF490" s="1529"/>
      <c r="AG490" s="1529"/>
      <c r="AH490" s="1529"/>
      <c r="AI490" s="1529"/>
      <c r="AJ490" s="1529"/>
      <c r="AK490" s="1571"/>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2698</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2699</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19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c r="N495" s="1382"/>
      <c r="O495" s="1382"/>
      <c r="P495" s="1383"/>
      <c r="Q495" s="121" t="s">
        <v>1670</v>
      </c>
      <c r="R495" s="5"/>
      <c r="S495" s="5"/>
      <c r="T495" s="5"/>
      <c r="U495" s="5"/>
      <c r="V495" s="5"/>
      <c r="W495" s="5"/>
      <c r="X495" s="5"/>
      <c r="Y495" s="5"/>
      <c r="Z495" s="5"/>
      <c r="AA495" s="5"/>
      <c r="AB495" s="5"/>
      <c r="AC495" s="5"/>
      <c r="AD495" s="5"/>
      <c r="AE495" s="5"/>
      <c r="AF495" s="5"/>
      <c r="AG495" s="5"/>
      <c r="AH495" s="1381">
        <v>19</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8</v>
      </c>
      <c r="AD501" s="1390"/>
      <c r="AE501" s="1390"/>
      <c r="AF501" s="1390"/>
      <c r="AG501" s="13" t="s">
        <v>403</v>
      </c>
      <c r="AH501" s="1427">
        <v>2023</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2</v>
      </c>
      <c r="AD502" s="1390"/>
      <c r="AE502" s="1390"/>
      <c r="AF502" s="1390"/>
      <c r="AG502" s="38" t="s">
        <v>403</v>
      </c>
      <c r="AH502" s="1427">
        <v>2024</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5</v>
      </c>
      <c r="AD505" s="1390"/>
      <c r="AE505" s="1390"/>
      <c r="AF505" s="1390"/>
      <c r="AG505" s="13" t="s">
        <v>403</v>
      </c>
      <c r="AH505" s="1427">
        <v>2024</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3</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4</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1184</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7"/>
      <c r="AI512" s="1587"/>
      <c r="AJ512" s="1587"/>
      <c r="AK512" s="1588"/>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9</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416</v>
      </c>
      <c r="AC515" s="1389">
        <v>9</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6</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416</v>
      </c>
      <c r="AC518" s="1389">
        <v>9</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6</v>
      </c>
      <c r="AD519" s="1390"/>
      <c r="AE519" s="1390"/>
      <c r="AF519" s="1390"/>
      <c r="AG519" s="38" t="s">
        <v>403</v>
      </c>
      <c r="AH519" s="1427">
        <v>2028</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419</v>
      </c>
      <c r="C520" s="1397"/>
      <c r="D520" s="1397"/>
      <c r="E520" s="1397"/>
      <c r="F520" s="1397"/>
      <c r="G520" s="1397"/>
      <c r="H520" s="1398"/>
      <c r="I520" s="41" t="s">
        <v>420</v>
      </c>
      <c r="J520" s="42"/>
      <c r="K520" s="42"/>
      <c r="L520" s="42"/>
      <c r="M520" s="42"/>
      <c r="N520" s="42"/>
      <c r="O520" s="1433" t="s">
        <v>2700</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421</v>
      </c>
      <c r="AB521" s="65"/>
      <c r="AC521" s="1389">
        <v>6</v>
      </c>
      <c r="AD521" s="1390"/>
      <c r="AE521" s="1390"/>
      <c r="AF521" s="1390"/>
      <c r="AG521" s="13" t="s">
        <v>403</v>
      </c>
      <c r="AH521" s="1427">
        <v>2023</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8</v>
      </c>
      <c r="AD522" s="1390"/>
      <c r="AE522" s="1390"/>
      <c r="AF522" s="1390"/>
      <c r="AG522" s="38" t="s">
        <v>403</v>
      </c>
      <c r="AH522" s="1427">
        <v>2023</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423</v>
      </c>
      <c r="J523" s="42"/>
      <c r="K523" s="42"/>
      <c r="L523" s="42"/>
      <c r="M523" s="42"/>
      <c r="N523" s="42"/>
      <c r="O523" s="1433" t="s">
        <v>2701</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421</v>
      </c>
      <c r="AC524" s="1389">
        <v>4</v>
      </c>
      <c r="AD524" s="1390"/>
      <c r="AE524" s="1390"/>
      <c r="AF524" s="1390"/>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423</v>
      </c>
      <c r="J526" s="42"/>
      <c r="K526" s="42"/>
      <c r="L526" s="42"/>
      <c r="M526" s="42"/>
      <c r="N526" s="42"/>
      <c r="O526" s="1433" t="s">
        <v>2702</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421</v>
      </c>
      <c r="AC527" s="1389">
        <v>11</v>
      </c>
      <c r="AD527" s="1390"/>
      <c r="AE527" s="1390"/>
      <c r="AF527" s="1390"/>
      <c r="AG527" s="13" t="s">
        <v>403</v>
      </c>
      <c r="AH527" s="1427">
        <v>2024</v>
      </c>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1</v>
      </c>
      <c r="AD528" s="1390"/>
      <c r="AE528" s="1390"/>
      <c r="AF528" s="1390"/>
      <c r="AG528" s="38" t="s">
        <v>403</v>
      </c>
      <c r="AH528" s="1427">
        <v>2025</v>
      </c>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423</v>
      </c>
      <c r="J529" s="42"/>
      <c r="K529" s="42"/>
      <c r="L529" s="42"/>
      <c r="M529" s="42"/>
      <c r="N529" s="42"/>
      <c r="O529" s="1433" t="s">
        <v>2614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421</v>
      </c>
      <c r="AC530" s="1389">
        <v>5</v>
      </c>
      <c r="AD530" s="1390"/>
      <c r="AE530" s="1390"/>
      <c r="AF530" s="1390"/>
      <c r="AG530" s="13" t="s">
        <v>403</v>
      </c>
      <c r="AH530" s="1427">
        <v>2025</v>
      </c>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v>5</v>
      </c>
      <c r="AD531" s="1390"/>
      <c r="AE531" s="1390"/>
      <c r="AF531" s="1390"/>
      <c r="AG531" s="38" t="s">
        <v>403</v>
      </c>
      <c r="AH531" s="1427">
        <v>2025</v>
      </c>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423</v>
      </c>
      <c r="J532" s="42"/>
      <c r="K532" s="42"/>
      <c r="L532" s="42"/>
      <c r="M532" s="42"/>
      <c r="N532" s="42"/>
      <c r="O532" s="1433" t="s">
        <v>2740</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421</v>
      </c>
      <c r="AC533" s="1389">
        <v>7</v>
      </c>
      <c r="AD533" s="1390"/>
      <c r="AE533" s="1390"/>
      <c r="AF533" s="1390"/>
      <c r="AG533" s="38" t="s">
        <v>403</v>
      </c>
      <c r="AH533" s="1427">
        <v>2025</v>
      </c>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v>9</v>
      </c>
      <c r="AD534" s="1390"/>
      <c r="AE534" s="1390"/>
      <c r="AF534" s="1390"/>
      <c r="AG534" s="13" t="s">
        <v>403</v>
      </c>
      <c r="AH534" s="1427">
        <v>2025</v>
      </c>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t="s">
        <v>591</v>
      </c>
      <c r="AD538" s="1390"/>
      <c r="AE538" s="1390"/>
      <c r="AF538" s="1390"/>
      <c r="AG538" s="38" t="s">
        <v>403</v>
      </c>
      <c r="AH538" s="1427"/>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6</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3</v>
      </c>
      <c r="AD540" s="1390"/>
      <c r="AE540" s="1390"/>
      <c r="AF540" s="1390"/>
      <c r="AG540" s="38" t="s">
        <v>403</v>
      </c>
      <c r="AH540" s="1427">
        <v>2028</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3</v>
      </c>
      <c r="AD541" s="1390"/>
      <c r="AE541" s="1390"/>
      <c r="AF541" s="1390"/>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6</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2704</v>
      </c>
      <c r="D554" s="1439"/>
      <c r="E554" s="1439"/>
      <c r="F554" s="1439"/>
      <c r="G554" s="1439"/>
      <c r="H554" s="1439"/>
      <c r="I554" s="1439"/>
      <c r="J554" s="1439"/>
      <c r="K554" s="1439"/>
      <c r="L554" s="1439"/>
      <c r="M554" s="1439" t="s">
        <v>2119</v>
      </c>
      <c r="N554" s="1439"/>
      <c r="O554" s="1439"/>
      <c r="P554" s="1439"/>
      <c r="Q554" s="1425">
        <v>27</v>
      </c>
      <c r="R554" s="1425"/>
      <c r="S554" s="1426"/>
      <c r="T554" s="1424"/>
      <c r="U554" s="1425"/>
      <c r="V554" s="1426"/>
      <c r="W554" s="1421">
        <v>0.06</v>
      </c>
      <c r="X554" s="1422"/>
      <c r="Y554" s="1423"/>
      <c r="Z554" s="1430" t="s">
        <v>2751</v>
      </c>
      <c r="AA554" s="1430"/>
      <c r="AB554" s="1430"/>
      <c r="AC554" s="1430"/>
      <c r="AD554" s="1430"/>
      <c r="AE554" s="1412">
        <v>1</v>
      </c>
      <c r="AF554" s="1413"/>
      <c r="AG554" s="1413"/>
      <c r="AH554" s="1414"/>
      <c r="AI554" s="1436"/>
      <c r="AJ554" s="1437"/>
      <c r="AK554" s="1437"/>
      <c r="AL554" s="1438"/>
      <c r="AM554" s="1465">
        <v>16000000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2703</v>
      </c>
      <c r="D555" s="1440"/>
      <c r="E555" s="1440"/>
      <c r="F555" s="1440"/>
      <c r="G555" s="1440"/>
      <c r="H555" s="1440"/>
      <c r="I555" s="1440"/>
      <c r="J555" s="1440"/>
      <c r="K555" s="1440"/>
      <c r="L555" s="1440"/>
      <c r="M555" s="1439" t="s">
        <v>2118</v>
      </c>
      <c r="N555" s="1439"/>
      <c r="O555" s="1439"/>
      <c r="P555" s="1439"/>
      <c r="Q555" s="1424">
        <v>27</v>
      </c>
      <c r="R555" s="1425"/>
      <c r="S555" s="1426"/>
      <c r="T555" s="1424"/>
      <c r="U555" s="1425"/>
      <c r="V555" s="1426"/>
      <c r="W555" s="1421">
        <v>6.5000000000000002E-2</v>
      </c>
      <c r="X555" s="1422"/>
      <c r="Y555" s="1423"/>
      <c r="Z555" s="1430" t="s">
        <v>2751</v>
      </c>
      <c r="AA555" s="1430"/>
      <c r="AB555" s="1430"/>
      <c r="AC555" s="1430"/>
      <c r="AD555" s="1430"/>
      <c r="AE555" s="1412">
        <v>1</v>
      </c>
      <c r="AF555" s="1413"/>
      <c r="AG555" s="1413"/>
      <c r="AH555" s="1414"/>
      <c r="AI555" s="1436"/>
      <c r="AJ555" s="1437"/>
      <c r="AK555" s="1437"/>
      <c r="AL555" s="1438"/>
      <c r="AM555" s="1465">
        <v>8076407</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2705</v>
      </c>
      <c r="D556" s="1440"/>
      <c r="E556" s="1440"/>
      <c r="F556" s="1440"/>
      <c r="G556" s="1440"/>
      <c r="H556" s="1440"/>
      <c r="I556" s="1440"/>
      <c r="J556" s="1440"/>
      <c r="K556" s="1440"/>
      <c r="L556" s="1440"/>
      <c r="M556" s="1439" t="s">
        <v>2110</v>
      </c>
      <c r="N556" s="1439"/>
      <c r="O556" s="1439"/>
      <c r="P556" s="1439"/>
      <c r="Q556" s="1424"/>
      <c r="R556" s="1425"/>
      <c r="S556" s="1426"/>
      <c r="T556" s="1424"/>
      <c r="U556" s="1425"/>
      <c r="V556" s="1426"/>
      <c r="W556" s="1421"/>
      <c r="X556" s="1422"/>
      <c r="Y556" s="1423"/>
      <c r="Z556" s="1430" t="s">
        <v>591</v>
      </c>
      <c r="AA556" s="1430"/>
      <c r="AB556" s="1430"/>
      <c r="AC556" s="1430"/>
      <c r="AD556" s="1430"/>
      <c r="AE556" s="1412"/>
      <c r="AF556" s="1413"/>
      <c r="AG556" s="1413"/>
      <c r="AH556" s="1414"/>
      <c r="AI556" s="1436"/>
      <c r="AJ556" s="1437"/>
      <c r="AK556" s="1437"/>
      <c r="AL556" s="1438"/>
      <c r="AM556" s="1465">
        <v>2077882</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581</v>
      </c>
      <c r="C557" s="1440" t="s">
        <v>2741</v>
      </c>
      <c r="D557" s="1440"/>
      <c r="E557" s="1440"/>
      <c r="F557" s="1440"/>
      <c r="G557" s="1440"/>
      <c r="H557" s="1440"/>
      <c r="I557" s="1440"/>
      <c r="J557" s="1440"/>
      <c r="K557" s="1440"/>
      <c r="L557" s="1440"/>
      <c r="M557" s="1439" t="s">
        <v>2110</v>
      </c>
      <c r="N557" s="1439"/>
      <c r="O557" s="1439"/>
      <c r="P557" s="1439"/>
      <c r="Q557" s="1424"/>
      <c r="R557" s="1425"/>
      <c r="S557" s="1426"/>
      <c r="T557" s="1424"/>
      <c r="U557" s="1425"/>
      <c r="V557" s="1426"/>
      <c r="W557" s="1421"/>
      <c r="X557" s="1422"/>
      <c r="Y557" s="1423"/>
      <c r="Z557" s="1430" t="s">
        <v>591</v>
      </c>
      <c r="AA557" s="1430"/>
      <c r="AB557" s="1430"/>
      <c r="AC557" s="1430"/>
      <c r="AD557" s="1430"/>
      <c r="AE557" s="1412"/>
      <c r="AF557" s="1413"/>
      <c r="AG557" s="1413"/>
      <c r="AH557" s="1414"/>
      <c r="AI557" s="1436"/>
      <c r="AJ557" s="1437"/>
      <c r="AK557" s="1437"/>
      <c r="AL557" s="1438"/>
      <c r="AM557" s="1465">
        <v>540000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763</v>
      </c>
      <c r="C558" s="1440" t="s">
        <v>2706</v>
      </c>
      <c r="D558" s="1440"/>
      <c r="E558" s="1440"/>
      <c r="F558" s="1440"/>
      <c r="G558" s="1440"/>
      <c r="H558" s="1440"/>
      <c r="I558" s="1440"/>
      <c r="J558" s="1440"/>
      <c r="K558" s="1440"/>
      <c r="L558" s="1440"/>
      <c r="M558" s="1439" t="s">
        <v>2115</v>
      </c>
      <c r="N558" s="1439"/>
      <c r="O558" s="1439"/>
      <c r="P558" s="1439"/>
      <c r="Q558" s="1424">
        <f>55*12</f>
        <v>660</v>
      </c>
      <c r="R558" s="1425"/>
      <c r="S558" s="1426"/>
      <c r="T558" s="1424"/>
      <c r="U558" s="1425"/>
      <c r="V558" s="1426"/>
      <c r="W558" s="1421">
        <v>0.03</v>
      </c>
      <c r="X558" s="1422"/>
      <c r="Y558" s="1423"/>
      <c r="Z558" s="1430" t="s">
        <v>2751</v>
      </c>
      <c r="AA558" s="1430"/>
      <c r="AB558" s="1430"/>
      <c r="AC558" s="1430"/>
      <c r="AD558" s="1430"/>
      <c r="AE558" s="1412">
        <v>2</v>
      </c>
      <c r="AF558" s="1413"/>
      <c r="AG558" s="1413"/>
      <c r="AH558" s="1414"/>
      <c r="AI558" s="1436"/>
      <c r="AJ558" s="1437"/>
      <c r="AK558" s="1437"/>
      <c r="AL558" s="1438"/>
      <c r="AM558" s="1465">
        <v>3000000</v>
      </c>
      <c r="AN558" s="1466"/>
      <c r="AO558" s="1466"/>
      <c r="AP558" s="1466"/>
      <c r="AQ558" s="1466"/>
      <c r="AR558" s="1466"/>
      <c r="AS558" s="1467"/>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0" t="s">
        <v>2707</v>
      </c>
      <c r="D559" s="1440"/>
      <c r="E559" s="1440"/>
      <c r="F559" s="1440"/>
      <c r="G559" s="1440"/>
      <c r="H559" s="1440"/>
      <c r="I559" s="1440"/>
      <c r="J559" s="1440"/>
      <c r="K559" s="1440"/>
      <c r="L559" s="1440"/>
      <c r="M559" s="1439" t="s">
        <v>2115</v>
      </c>
      <c r="N559" s="1439"/>
      <c r="O559" s="1439"/>
      <c r="P559" s="1439"/>
      <c r="Q559" s="1424">
        <f t="shared" ref="Q559:Q560" si="1">55*12</f>
        <v>660</v>
      </c>
      <c r="R559" s="1425"/>
      <c r="S559" s="1426"/>
      <c r="T559" s="1424"/>
      <c r="U559" s="1425"/>
      <c r="V559" s="1426"/>
      <c r="W559" s="1421">
        <v>0.03</v>
      </c>
      <c r="X559" s="1422"/>
      <c r="Y559" s="1423"/>
      <c r="Z559" s="1430" t="s">
        <v>2751</v>
      </c>
      <c r="AA559" s="1430"/>
      <c r="AB559" s="1430"/>
      <c r="AC559" s="1430"/>
      <c r="AD559" s="1430"/>
      <c r="AE559" s="1412">
        <v>2</v>
      </c>
      <c r="AF559" s="1413"/>
      <c r="AG559" s="1413"/>
      <c r="AH559" s="1414"/>
      <c r="AI559" s="1436"/>
      <c r="AJ559" s="1437"/>
      <c r="AK559" s="1437"/>
      <c r="AL559" s="1438"/>
      <c r="AM559" s="1465">
        <v>4000000</v>
      </c>
      <c r="AN559" s="1466"/>
      <c r="AO559" s="1466"/>
      <c r="AP559" s="1466"/>
      <c r="AQ559" s="1466"/>
      <c r="AR559" s="1466"/>
      <c r="AS559" s="1467"/>
      <c r="AT559" s="1148" t="str">
        <f t="shared" si="0"/>
        <v/>
      </c>
      <c r="AU559" s="1147"/>
      <c r="BB559" s="3"/>
      <c r="BC559" s="3"/>
      <c r="BD559" s="3"/>
      <c r="BE559" s="3"/>
      <c r="BF559" s="3"/>
      <c r="BG559" s="3"/>
      <c r="BH559" s="3" t="s">
        <v>584</v>
      </c>
      <c r="BI559" s="3" t="str">
        <f>AG665</f>
        <v>No</v>
      </c>
    </row>
    <row r="560" spans="1:61" ht="12.95" customHeight="1">
      <c r="B560" s="52" t="s">
        <v>455</v>
      </c>
      <c r="C560" s="1440" t="s">
        <v>2708</v>
      </c>
      <c r="D560" s="1440"/>
      <c r="E560" s="1440"/>
      <c r="F560" s="1440"/>
      <c r="G560" s="1440"/>
      <c r="H560" s="1440"/>
      <c r="I560" s="1440"/>
      <c r="J560" s="1440"/>
      <c r="K560" s="1440"/>
      <c r="L560" s="1440"/>
      <c r="M560" s="1439" t="s">
        <v>2115</v>
      </c>
      <c r="N560" s="1439"/>
      <c r="O560" s="1439"/>
      <c r="P560" s="1439"/>
      <c r="Q560" s="1424">
        <f t="shared" si="1"/>
        <v>660</v>
      </c>
      <c r="R560" s="1425"/>
      <c r="S560" s="1426"/>
      <c r="T560" s="1424"/>
      <c r="U560" s="1425"/>
      <c r="V560" s="1426"/>
      <c r="W560" s="1421">
        <v>0.03</v>
      </c>
      <c r="X560" s="1422"/>
      <c r="Y560" s="1423"/>
      <c r="Z560" s="1430" t="s">
        <v>2751</v>
      </c>
      <c r="AA560" s="1430"/>
      <c r="AB560" s="1430"/>
      <c r="AC560" s="1430"/>
      <c r="AD560" s="1430"/>
      <c r="AE560" s="1412">
        <v>2</v>
      </c>
      <c r="AF560" s="1413"/>
      <c r="AG560" s="1413"/>
      <c r="AH560" s="1414"/>
      <c r="AI560" s="1436"/>
      <c r="AJ560" s="1437"/>
      <c r="AK560" s="1437"/>
      <c r="AL560" s="1438"/>
      <c r="AM560" s="1465">
        <v>4403263</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456</v>
      </c>
      <c r="C561" s="1440" t="s">
        <v>2614</v>
      </c>
      <c r="D561" s="1440"/>
      <c r="E561" s="1440"/>
      <c r="F561" s="1440"/>
      <c r="G561" s="1440"/>
      <c r="H561" s="1440"/>
      <c r="I561" s="1440"/>
      <c r="J561" s="1440"/>
      <c r="K561" s="1440"/>
      <c r="L561" s="1440"/>
      <c r="M561" s="1439" t="s">
        <v>2115</v>
      </c>
      <c r="N561" s="1439"/>
      <c r="O561" s="1439"/>
      <c r="P561" s="1439"/>
      <c r="Q561" s="1424"/>
      <c r="R561" s="1425"/>
      <c r="S561" s="1426"/>
      <c r="T561" s="1424"/>
      <c r="U561" s="1425"/>
      <c r="V561" s="1426"/>
      <c r="W561" s="1421"/>
      <c r="X561" s="1422"/>
      <c r="Y561" s="1423"/>
      <c r="Z561" s="1430" t="s">
        <v>591</v>
      </c>
      <c r="AA561" s="1430"/>
      <c r="AB561" s="1430"/>
      <c r="AC561" s="1430"/>
      <c r="AD561" s="1430"/>
      <c r="AE561" s="1412"/>
      <c r="AF561" s="1413"/>
      <c r="AG561" s="1413"/>
      <c r="AH561" s="1414"/>
      <c r="AI561" s="1436"/>
      <c r="AJ561" s="1437"/>
      <c r="AK561" s="1437"/>
      <c r="AL561" s="1438"/>
      <c r="AM561" s="1465">
        <v>1000000</v>
      </c>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461</v>
      </c>
      <c r="C562" s="1440" t="s">
        <v>2710</v>
      </c>
      <c r="D562" s="1440"/>
      <c r="E562" s="1440"/>
      <c r="F562" s="1440"/>
      <c r="G562" s="1440"/>
      <c r="H562" s="1440"/>
      <c r="I562" s="1440"/>
      <c r="J562" s="1440"/>
      <c r="K562" s="1440"/>
      <c r="L562" s="1440"/>
      <c r="M562" s="1439" t="s">
        <v>2105</v>
      </c>
      <c r="N562" s="1439"/>
      <c r="O562" s="1439"/>
      <c r="P562" s="1439"/>
      <c r="Q562" s="1424"/>
      <c r="R562" s="1425"/>
      <c r="S562" s="1426"/>
      <c r="T562" s="1424"/>
      <c r="U562" s="1425"/>
      <c r="V562" s="1426"/>
      <c r="W562" s="1421"/>
      <c r="X562" s="1422"/>
      <c r="Y562" s="1423"/>
      <c r="Z562" s="1430" t="s">
        <v>591</v>
      </c>
      <c r="AA562" s="1430"/>
      <c r="AB562" s="1430"/>
      <c r="AC562" s="1430"/>
      <c r="AD562" s="1430"/>
      <c r="AE562" s="1412"/>
      <c r="AF562" s="1413"/>
      <c r="AG562" s="1413"/>
      <c r="AH562" s="1414"/>
      <c r="AI562" s="1436"/>
      <c r="AJ562" s="1437"/>
      <c r="AK562" s="1437"/>
      <c r="AL562" s="1438"/>
      <c r="AM562" s="1465">
        <v>18140265</v>
      </c>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591</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57237817</v>
      </c>
      <c r="AN566" s="1473"/>
      <c r="AO566" s="1473"/>
      <c r="AP566" s="1473"/>
      <c r="AQ566" s="1473"/>
      <c r="AR566" s="1473"/>
      <c r="AS566" s="1474"/>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3" t="str">
        <f>C554</f>
        <v>Citi Tax-exempt Construction Loan</v>
      </c>
      <c r="H568" s="1483"/>
      <c r="I568" s="1483"/>
      <c r="J568" s="1483"/>
      <c r="K568" s="1483"/>
      <c r="L568" s="1483"/>
      <c r="M568" s="1483"/>
      <c r="N568" s="1483"/>
      <c r="O568" s="1483"/>
      <c r="P568" s="1483"/>
      <c r="Q568" s="1483"/>
      <c r="R568" s="1483"/>
      <c r="S568" s="8"/>
      <c r="T568" s="55" t="s">
        <v>113</v>
      </c>
      <c r="U568" t="s">
        <v>463</v>
      </c>
      <c r="Z568" s="1483" t="str">
        <f>C555</f>
        <v>Citi Taxable Construction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2711</v>
      </c>
      <c r="H569" s="1407"/>
      <c r="I569" s="1407"/>
      <c r="J569" s="1407"/>
      <c r="K569" s="1407"/>
      <c r="L569" s="1407"/>
      <c r="M569" s="1407"/>
      <c r="N569" s="1407"/>
      <c r="O569" s="1407"/>
      <c r="P569" s="1407"/>
      <c r="Q569" s="1407"/>
      <c r="R569" s="1407"/>
      <c r="S569" s="8"/>
      <c r="T569" s="22"/>
      <c r="U569" t="s">
        <v>85</v>
      </c>
      <c r="Z569" s="1407" t="s">
        <v>2711</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580</v>
      </c>
      <c r="G570" s="1407" t="s">
        <v>2712</v>
      </c>
      <c r="H570" s="1407"/>
      <c r="I570" s="1407"/>
      <c r="J570" s="1407"/>
      <c r="K570" s="1407"/>
      <c r="L570" s="1407"/>
      <c r="M570" s="1407"/>
      <c r="N570" s="1407"/>
      <c r="O570" s="1407"/>
      <c r="P570" s="1407"/>
      <c r="Q570" s="1407"/>
      <c r="R570" s="1407"/>
      <c r="T570" s="22"/>
      <c r="U570" t="s">
        <v>580</v>
      </c>
      <c r="Z570" s="1371" t="s">
        <v>2712</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2713</v>
      </c>
      <c r="H571" s="1407"/>
      <c r="I571" s="1407"/>
      <c r="J571" s="1407"/>
      <c r="K571" s="1407"/>
      <c r="L571" s="1407"/>
      <c r="M571" s="1407"/>
      <c r="N571" s="1407"/>
      <c r="O571" s="1407"/>
      <c r="P571" s="1407"/>
      <c r="Q571" s="1407"/>
      <c r="R571" s="1407"/>
      <c r="S571" s="8"/>
      <c r="T571" s="22"/>
      <c r="U571" t="s">
        <v>17</v>
      </c>
      <c r="Z571" s="1371" t="s">
        <v>2713</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2714</v>
      </c>
      <c r="H572" s="1487"/>
      <c r="I572" s="1487"/>
      <c r="J572" s="1487"/>
      <c r="K572" s="1487"/>
      <c r="L572" s="1487"/>
      <c r="O572" s="33" t="s">
        <v>206</v>
      </c>
      <c r="P572" s="1471"/>
      <c r="Q572" s="1471"/>
      <c r="R572" s="1471"/>
      <c r="S572" s="10"/>
      <c r="T572" s="22"/>
      <c r="U572" t="s">
        <v>316</v>
      </c>
      <c r="Z572" s="1487" t="s">
        <v>2714</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2715</v>
      </c>
      <c r="I573" s="1407"/>
      <c r="J573" s="1407"/>
      <c r="K573" s="1407"/>
      <c r="L573" s="1407"/>
      <c r="M573" s="1407"/>
      <c r="N573" s="1407"/>
      <c r="O573" s="1407"/>
      <c r="P573" s="1407"/>
      <c r="Q573" s="1407"/>
      <c r="R573" s="1407"/>
      <c r="S573" s="8"/>
      <c r="T573" s="22"/>
      <c r="U573" t="s">
        <v>18</v>
      </c>
      <c r="AA573" s="1407" t="s">
        <v>2715</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1185</v>
      </c>
      <c r="H574" s="8"/>
      <c r="I574" s="8"/>
      <c r="J574" s="8"/>
      <c r="K574" s="8"/>
      <c r="L574" s="8"/>
      <c r="M574" s="1599"/>
      <c r="N574" s="1599"/>
      <c r="O574" s="1599"/>
      <c r="P574" s="1599"/>
      <c r="Q574" s="1599"/>
      <c r="R574" s="1599"/>
      <c r="S574" s="8"/>
      <c r="T574" s="22"/>
      <c r="U574" s="320" t="s">
        <v>1185</v>
      </c>
      <c r="AA574" s="8"/>
      <c r="AB574" s="8"/>
      <c r="AC574" s="8"/>
      <c r="AD574" s="8"/>
      <c r="AE574" s="8"/>
      <c r="AF574" s="1599"/>
      <c r="AG574" s="1599"/>
      <c r="AH574" s="1599"/>
      <c r="AI574" s="1599"/>
      <c r="AJ574" s="1599"/>
      <c r="AK574" s="1599"/>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3" t="str">
        <f>C556</f>
        <v>Federal LIHTC Equity</v>
      </c>
      <c r="H577" s="1483"/>
      <c r="I577" s="1483"/>
      <c r="J577" s="1483"/>
      <c r="K577" s="1483"/>
      <c r="L577" s="1483"/>
      <c r="M577" s="1483"/>
      <c r="N577" s="1483"/>
      <c r="O577" s="1483"/>
      <c r="P577" s="1483"/>
      <c r="Q577" s="1483"/>
      <c r="R577" s="1483"/>
      <c r="T577" s="55" t="s">
        <v>581</v>
      </c>
      <c r="U577" t="s">
        <v>463</v>
      </c>
      <c r="Z577" s="1483" t="str">
        <f>C557</f>
        <v>State LIHTC Equity</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2716</v>
      </c>
      <c r="H578" s="1407"/>
      <c r="I578" s="1407"/>
      <c r="J578" s="1407"/>
      <c r="K578" s="1407"/>
      <c r="L578" s="1407"/>
      <c r="M578" s="1407"/>
      <c r="N578" s="1407"/>
      <c r="O578" s="1407"/>
      <c r="P578" s="1407"/>
      <c r="Q578" s="1407"/>
      <c r="R578" s="1407"/>
      <c r="T578" s="22"/>
      <c r="U578" t="s">
        <v>85</v>
      </c>
      <c r="Z578" s="1407" t="s">
        <v>2716</v>
      </c>
      <c r="AA578" s="1407"/>
      <c r="AB578" s="1407"/>
      <c r="AC578" s="1407"/>
      <c r="AD578" s="1407"/>
      <c r="AE578" s="1407"/>
      <c r="AF578" s="1407"/>
      <c r="AG578" s="1407"/>
      <c r="AH578" s="1407"/>
      <c r="AI578" s="1407"/>
      <c r="AJ578" s="1407"/>
      <c r="AK578" s="1407"/>
      <c r="BB578" s="3"/>
      <c r="BC578" s="3"/>
    </row>
    <row r="579" spans="1:55" ht="12.95" customHeight="1">
      <c r="A579" s="22"/>
      <c r="B579" t="s">
        <v>580</v>
      </c>
      <c r="G579" s="1371" t="s">
        <v>2677</v>
      </c>
      <c r="H579" s="1371"/>
      <c r="I579" s="1371"/>
      <c r="J579" s="1371"/>
      <c r="K579" s="1371"/>
      <c r="L579" s="1371"/>
      <c r="M579" s="1371"/>
      <c r="N579" s="1371"/>
      <c r="O579" s="1371"/>
      <c r="P579" s="1371"/>
      <c r="Q579" s="1371"/>
      <c r="R579" s="1371"/>
      <c r="T579" s="22"/>
      <c r="U579" t="s">
        <v>580</v>
      </c>
      <c r="Z579" s="1371" t="s">
        <v>2677</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2678</v>
      </c>
      <c r="H580" s="1371"/>
      <c r="I580" s="1371"/>
      <c r="J580" s="1371"/>
      <c r="K580" s="1371"/>
      <c r="L580" s="1371"/>
      <c r="M580" s="1371"/>
      <c r="N580" s="1371"/>
      <c r="O580" s="1371"/>
      <c r="P580" s="1371"/>
      <c r="Q580" s="1371"/>
      <c r="R580" s="1371"/>
      <c r="T580" s="22"/>
      <c r="U580" t="s">
        <v>17</v>
      </c>
      <c r="Z580" s="1371" t="s">
        <v>2678</v>
      </c>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
        <v>2679</v>
      </c>
      <c r="H581" s="1487"/>
      <c r="I581" s="1487"/>
      <c r="J581" s="1487"/>
      <c r="K581" s="1487"/>
      <c r="L581" s="1487"/>
      <c r="O581" s="33" t="s">
        <v>206</v>
      </c>
      <c r="P581" s="1471"/>
      <c r="Q581" s="1471"/>
      <c r="R581" s="1471"/>
      <c r="T581" s="22"/>
      <c r="U581" t="s">
        <v>316</v>
      </c>
      <c r="Z581" s="1487" t="s">
        <v>2679</v>
      </c>
      <c r="AA581" s="1487"/>
      <c r="AB581" s="1487"/>
      <c r="AC581" s="1487"/>
      <c r="AD581" s="1487"/>
      <c r="AE581" s="1487"/>
      <c r="AH581" s="33" t="s">
        <v>206</v>
      </c>
      <c r="AI581" s="1471"/>
      <c r="AJ581" s="1471"/>
      <c r="AK581" s="1471"/>
      <c r="BB581" s="3"/>
      <c r="BC581" s="3"/>
    </row>
    <row r="582" spans="1:55" ht="12.95" customHeight="1">
      <c r="A582" s="22"/>
      <c r="B582" t="s">
        <v>18</v>
      </c>
      <c r="H582" s="1407" t="s">
        <v>2717</v>
      </c>
      <c r="I582" s="1407"/>
      <c r="J582" s="1407"/>
      <c r="K582" s="1407"/>
      <c r="L582" s="1407"/>
      <c r="M582" s="1407"/>
      <c r="N582" s="1407"/>
      <c r="O582" s="1407"/>
      <c r="P582" s="1407"/>
      <c r="Q582" s="1407"/>
      <c r="R582" s="1407"/>
      <c r="T582" s="22"/>
      <c r="U582" t="s">
        <v>18</v>
      </c>
      <c r="AA582" s="1407" t="s">
        <v>2717</v>
      </c>
      <c r="AB582" s="1407"/>
      <c r="AC582" s="1407"/>
      <c r="AD582" s="1407"/>
      <c r="AE582" s="1407"/>
      <c r="AF582" s="1407"/>
      <c r="AG582" s="1407"/>
      <c r="AH582" s="1407"/>
      <c r="AI582" s="1407"/>
      <c r="AJ582" s="1407"/>
      <c r="AK582" s="1407"/>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3" t="str">
        <f>C558</f>
        <v>SMC AHF 12.5</v>
      </c>
      <c r="H585" s="1483"/>
      <c r="I585" s="1483"/>
      <c r="J585" s="1483"/>
      <c r="K585" s="1483"/>
      <c r="L585" s="1483"/>
      <c r="M585" s="1483"/>
      <c r="N585" s="1483"/>
      <c r="O585" s="1483"/>
      <c r="P585" s="1483"/>
      <c r="Q585" s="1483"/>
      <c r="R585" s="1483"/>
      <c r="T585" s="55" t="s">
        <v>584</v>
      </c>
      <c r="U585" t="s">
        <v>463</v>
      </c>
      <c r="Z585" s="1483" t="str">
        <f>C559</f>
        <v>SMC AHF 12.0</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2718</v>
      </c>
      <c r="H586" s="1407"/>
      <c r="I586" s="1407"/>
      <c r="J586" s="1407"/>
      <c r="K586" s="1407"/>
      <c r="L586" s="1407"/>
      <c r="M586" s="1407"/>
      <c r="N586" s="1407"/>
      <c r="O586" s="1407"/>
      <c r="P586" s="1407"/>
      <c r="Q586" s="1407"/>
      <c r="R586" s="1407"/>
      <c r="T586" s="22"/>
      <c r="U586" t="s">
        <v>85</v>
      </c>
      <c r="Z586" s="1407" t="s">
        <v>2718</v>
      </c>
      <c r="AA586" s="1407"/>
      <c r="AB586" s="1407"/>
      <c r="AC586" s="1407"/>
      <c r="AD586" s="1407"/>
      <c r="AE586" s="1407"/>
      <c r="AF586" s="1407"/>
      <c r="AG586" s="1407"/>
      <c r="AH586" s="1407"/>
      <c r="AI586" s="1407"/>
      <c r="AJ586" s="1407"/>
      <c r="AK586" s="1407"/>
      <c r="BB586" s="3"/>
      <c r="BC586" s="3"/>
    </row>
    <row r="587" spans="1:55" ht="12.95" customHeight="1">
      <c r="A587" s="22"/>
      <c r="B587" t="s">
        <v>580</v>
      </c>
      <c r="G587" s="1407" t="s">
        <v>2719</v>
      </c>
      <c r="H587" s="1407"/>
      <c r="I587" s="1407"/>
      <c r="J587" s="1407"/>
      <c r="K587" s="1407"/>
      <c r="L587" s="1407"/>
      <c r="M587" s="1407"/>
      <c r="N587" s="1407"/>
      <c r="O587" s="1407"/>
      <c r="P587" s="1407"/>
      <c r="Q587" s="1407"/>
      <c r="R587" s="1407"/>
      <c r="T587" s="22"/>
      <c r="U587" t="s">
        <v>580</v>
      </c>
      <c r="Z587" s="1371" t="s">
        <v>2719</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2720</v>
      </c>
      <c r="H588" s="1407"/>
      <c r="I588" s="1407"/>
      <c r="J588" s="1407"/>
      <c r="K588" s="1407"/>
      <c r="L588" s="1407"/>
      <c r="M588" s="1407"/>
      <c r="N588" s="1407"/>
      <c r="O588" s="1407"/>
      <c r="P588" s="1407"/>
      <c r="Q588" s="1407"/>
      <c r="R588" s="1407"/>
      <c r="T588" s="22"/>
      <c r="U588" t="s">
        <v>17</v>
      </c>
      <c r="Z588" s="1371" t="s">
        <v>2720</v>
      </c>
      <c r="AA588" s="1371"/>
      <c r="AB588" s="1371"/>
      <c r="AC588" s="1371"/>
      <c r="AD588" s="1371"/>
      <c r="AE588" s="1371"/>
      <c r="AF588" s="1371"/>
      <c r="AG588" s="1371"/>
      <c r="AH588" s="1371"/>
      <c r="AI588" s="1371"/>
      <c r="AJ588" s="1371"/>
      <c r="AK588" s="1371"/>
    </row>
    <row r="589" spans="1:55" ht="12.95" customHeight="1">
      <c r="A589" s="22"/>
      <c r="B589" t="s">
        <v>316</v>
      </c>
      <c r="G589" s="1487" t="s">
        <v>2721</v>
      </c>
      <c r="H589" s="1487"/>
      <c r="I589" s="1487"/>
      <c r="J589" s="1487"/>
      <c r="K589" s="1487"/>
      <c r="L589" s="1487"/>
      <c r="O589" s="33" t="s">
        <v>206</v>
      </c>
      <c r="P589" s="1471"/>
      <c r="Q589" s="1471"/>
      <c r="R589" s="1471"/>
      <c r="T589" s="22"/>
      <c r="U589" t="s">
        <v>316</v>
      </c>
      <c r="Z589" s="1487" t="s">
        <v>2721</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t="s">
        <v>2115</v>
      </c>
      <c r="I590" s="1407"/>
      <c r="J590" s="1407"/>
      <c r="K590" s="1407"/>
      <c r="L590" s="1407"/>
      <c r="M590" s="1407"/>
      <c r="N590" s="1407"/>
      <c r="O590" s="1407"/>
      <c r="P590" s="1407"/>
      <c r="Q590" s="1407"/>
      <c r="R590" s="1407"/>
      <c r="T590" s="22"/>
      <c r="U590" t="s">
        <v>18</v>
      </c>
      <c r="AA590" s="1407" t="s">
        <v>2115</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3" t="str">
        <f>C560</f>
        <v>SMC AHF 11.0</v>
      </c>
      <c r="H593" s="1483"/>
      <c r="I593" s="1483"/>
      <c r="J593" s="1483"/>
      <c r="K593" s="1483"/>
      <c r="L593" s="1483"/>
      <c r="M593" s="1483"/>
      <c r="N593" s="1483"/>
      <c r="O593" s="1483"/>
      <c r="P593" s="1483"/>
      <c r="Q593" s="1483"/>
      <c r="R593" s="1483"/>
      <c r="T593" s="55" t="s">
        <v>456</v>
      </c>
      <c r="U593" t="s">
        <v>463</v>
      </c>
      <c r="Z593" s="1483" t="str">
        <f>C561</f>
        <v>City of Belmont</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2718</v>
      </c>
      <c r="H594" s="1407"/>
      <c r="I594" s="1407"/>
      <c r="J594" s="1407"/>
      <c r="K594" s="1407"/>
      <c r="L594" s="1407"/>
      <c r="M594" s="1407"/>
      <c r="N594" s="1407"/>
      <c r="O594" s="1407"/>
      <c r="P594" s="1407"/>
      <c r="Q594" s="1407"/>
      <c r="R594" s="1407"/>
      <c r="S594"/>
      <c r="T594" s="22"/>
      <c r="U594" t="s">
        <v>85</v>
      </c>
      <c r="V594"/>
      <c r="W594"/>
      <c r="X594"/>
      <c r="Y594"/>
      <c r="Z594" s="1407" t="s">
        <v>2722</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7" t="s">
        <v>2719</v>
      </c>
      <c r="H595" s="1407"/>
      <c r="I595" s="1407"/>
      <c r="J595" s="1407"/>
      <c r="K595" s="1407"/>
      <c r="L595" s="1407"/>
      <c r="M595" s="1407"/>
      <c r="N595" s="1407"/>
      <c r="O595" s="1407"/>
      <c r="P595" s="1407"/>
      <c r="Q595" s="1407"/>
      <c r="R595" s="1407"/>
      <c r="S595"/>
      <c r="T595" s="22"/>
      <c r="U595" t="s">
        <v>580</v>
      </c>
      <c r="V595"/>
      <c r="W595"/>
      <c r="X595"/>
      <c r="Y595"/>
      <c r="Z595" s="1371" t="s">
        <v>2723</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2720</v>
      </c>
      <c r="H596" s="1407"/>
      <c r="I596" s="1407"/>
      <c r="J596" s="1407"/>
      <c r="K596" s="1407"/>
      <c r="L596" s="1407"/>
      <c r="M596" s="1407"/>
      <c r="N596" s="1407"/>
      <c r="O596" s="1407"/>
      <c r="P596" s="1407"/>
      <c r="Q596" s="1407"/>
      <c r="R596" s="1407"/>
      <c r="S596"/>
      <c r="T596" s="22"/>
      <c r="U596" t="s">
        <v>17</v>
      </c>
      <c r="V596"/>
      <c r="W596"/>
      <c r="X596"/>
      <c r="Y596"/>
      <c r="Z596" s="1371" t="s">
        <v>2724</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t="s">
        <v>2721</v>
      </c>
      <c r="H597" s="1487"/>
      <c r="I597" s="1487"/>
      <c r="J597" s="1487"/>
      <c r="K597" s="1487"/>
      <c r="L597" s="1487"/>
      <c r="M597"/>
      <c r="N597"/>
      <c r="O597" s="33" t="s">
        <v>206</v>
      </c>
      <c r="P597" s="1471"/>
      <c r="Q597" s="1471"/>
      <c r="R597" s="1471"/>
      <c r="S597"/>
      <c r="T597" s="22"/>
      <c r="U597" t="s">
        <v>316</v>
      </c>
      <c r="V597"/>
      <c r="W597"/>
      <c r="X597"/>
      <c r="Y597"/>
      <c r="Z597" s="1487" t="s">
        <v>2725</v>
      </c>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2115</v>
      </c>
      <c r="I598" s="1407"/>
      <c r="J598" s="1407"/>
      <c r="K598" s="1407"/>
      <c r="L598" s="1407"/>
      <c r="M598" s="1407"/>
      <c r="N598" s="1407"/>
      <c r="O598" s="1407"/>
      <c r="P598" s="1407"/>
      <c r="Q598" s="1407"/>
      <c r="R598" s="1407"/>
      <c r="S598"/>
      <c r="T598" s="22"/>
      <c r="U598" t="s">
        <v>18</v>
      </c>
      <c r="V598"/>
      <c r="W598"/>
      <c r="X598"/>
      <c r="Y598"/>
      <c r="Z598"/>
      <c r="AA598" s="1407" t="s">
        <v>2115</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545</v>
      </c>
      <c r="O599" s="1415"/>
      <c r="T599" s="22"/>
      <c r="U599" t="s">
        <v>20</v>
      </c>
      <c r="AG599" s="1415" t="s">
        <v>545</v>
      </c>
      <c r="AH599" s="1415"/>
      <c r="BB599" s="3"/>
      <c r="BC599" s="3"/>
    </row>
    <row r="600" spans="1:55" ht="12.95" customHeight="1">
      <c r="A600" s="22"/>
      <c r="T600" s="22"/>
      <c r="BB600" s="3"/>
      <c r="BC600" s="3"/>
    </row>
    <row r="601" spans="1:55" ht="12.95" customHeight="1">
      <c r="A601" s="55" t="s">
        <v>461</v>
      </c>
      <c r="B601" t="s">
        <v>463</v>
      </c>
      <c r="G601" s="1483" t="str">
        <f>C562</f>
        <v>Deferred Cost</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t="s">
        <v>2726</v>
      </c>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580</v>
      </c>
      <c r="G603" s="1407" t="s">
        <v>729</v>
      </c>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t="s">
        <v>2626</v>
      </c>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t="s">
        <v>2627</v>
      </c>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t="s">
        <v>2715</v>
      </c>
      <c r="I606" s="1407"/>
      <c r="J606" s="1407"/>
      <c r="K606" s="1407"/>
      <c r="L606" s="1407"/>
      <c r="M606" s="1407"/>
      <c r="N606" s="1407"/>
      <c r="O606" s="1407"/>
      <c r="P606" s="1407"/>
      <c r="Q606" s="1407"/>
      <c r="R606" s="1407"/>
      <c r="S606"/>
      <c r="T606" s="22"/>
      <c r="U606" t="s">
        <v>18</v>
      </c>
      <c r="V606"/>
      <c r="W606"/>
      <c r="X606"/>
      <c r="Y606"/>
      <c r="Z606"/>
      <c r="AA606" s="1522"/>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545</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669</v>
      </c>
      <c r="O615" s="1415"/>
      <c r="U615" t="s">
        <v>20</v>
      </c>
      <c r="AG615" s="1415" t="s">
        <v>669</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69" t="s">
        <v>2102</v>
      </c>
      <c r="C624" s="1669"/>
      <c r="D624" s="1669"/>
      <c r="E624" s="1669"/>
      <c r="F624" s="1669"/>
      <c r="G624" s="1669"/>
      <c r="H624" s="1669"/>
      <c r="I624" s="1669"/>
      <c r="J624" s="1669"/>
      <c r="K624" s="1669"/>
      <c r="L624" s="1669"/>
      <c r="M624" s="1675" t="s">
        <v>2103</v>
      </c>
      <c r="N624" s="1675"/>
      <c r="O624" s="1675"/>
      <c r="P624" s="1675"/>
      <c r="Q624" s="1675" t="s">
        <v>1852</v>
      </c>
      <c r="R624" s="1675"/>
      <c r="S624" s="1675"/>
      <c r="T624" s="1675" t="s">
        <v>1850</v>
      </c>
      <c r="U624" s="1675"/>
      <c r="V624" s="1675"/>
      <c r="W624" s="1670" t="s">
        <v>453</v>
      </c>
      <c r="X624" s="1670"/>
      <c r="Y624" s="1670"/>
      <c r="Z624" s="1397" t="s">
        <v>2132</v>
      </c>
      <c r="AA624" s="1397"/>
      <c r="AB624" s="1398"/>
      <c r="AC624" s="1676" t="s">
        <v>1676</v>
      </c>
      <c r="AD624" s="1677"/>
      <c r="AE624" s="1678"/>
      <c r="AF624" s="1396" t="s">
        <v>1930</v>
      </c>
      <c r="AG624" s="1397"/>
      <c r="AH624" s="1397"/>
      <c r="AI624" s="1397"/>
      <c r="AJ624" s="1398"/>
      <c r="AK624" s="1590" t="s">
        <v>1931</v>
      </c>
      <c r="AL624" s="1591"/>
      <c r="AM624" s="1591"/>
      <c r="AN624" s="1592"/>
      <c r="AO624" s="1675" t="s">
        <v>454</v>
      </c>
      <c r="AP624" s="1675"/>
      <c r="AQ624" s="1675"/>
      <c r="AR624" s="1675"/>
      <c r="AS624" s="1675"/>
      <c r="AU624" s="3"/>
      <c r="AZ624" s="3"/>
      <c r="BA624" s="3"/>
      <c r="BB624" s="3"/>
      <c r="BC624" s="3"/>
    </row>
    <row r="625" spans="2:157" ht="12.95" customHeight="1">
      <c r="B625" s="1669"/>
      <c r="C625" s="1669"/>
      <c r="D625" s="1669"/>
      <c r="E625" s="1669"/>
      <c r="F625" s="1669"/>
      <c r="G625" s="1669"/>
      <c r="H625" s="1669"/>
      <c r="I625" s="1669"/>
      <c r="J625" s="1669"/>
      <c r="K625" s="1669"/>
      <c r="L625" s="1669"/>
      <c r="M625" s="1675"/>
      <c r="N625" s="1675"/>
      <c r="O625" s="1675"/>
      <c r="P625" s="1675"/>
      <c r="Q625" s="1675"/>
      <c r="R625" s="1675"/>
      <c r="S625" s="1675"/>
      <c r="T625" s="1675"/>
      <c r="U625" s="1675"/>
      <c r="V625" s="1675"/>
      <c r="W625" s="1670"/>
      <c r="X625" s="1670"/>
      <c r="Y625" s="1670"/>
      <c r="Z625" s="1400"/>
      <c r="AA625" s="1400"/>
      <c r="AB625" s="1401"/>
      <c r="AC625" s="1679"/>
      <c r="AD625" s="1680"/>
      <c r="AE625" s="1681"/>
      <c r="AF625" s="1399"/>
      <c r="AG625" s="1400"/>
      <c r="AH625" s="1400"/>
      <c r="AI625" s="1400"/>
      <c r="AJ625" s="1401"/>
      <c r="AK625" s="1593"/>
      <c r="AL625" s="1594"/>
      <c r="AM625" s="1594"/>
      <c r="AN625" s="1595"/>
      <c r="AO625" s="1675"/>
      <c r="AP625" s="1675"/>
      <c r="AQ625" s="1675"/>
      <c r="AR625" s="1675"/>
      <c r="AS625" s="1675"/>
      <c r="AU625" s="3"/>
      <c r="AZ625" s="3"/>
      <c r="BA625" s="3"/>
      <c r="BB625" s="3"/>
      <c r="BC625" s="3"/>
      <c r="BD625" s="3"/>
    </row>
    <row r="626" spans="2:157" ht="12.95" customHeight="1">
      <c r="B626" s="1669"/>
      <c r="C626" s="1669"/>
      <c r="D626" s="1669"/>
      <c r="E626" s="1669"/>
      <c r="F626" s="1669"/>
      <c r="G626" s="1669"/>
      <c r="H626" s="1669"/>
      <c r="I626" s="1669"/>
      <c r="J626" s="1669"/>
      <c r="K626" s="1669"/>
      <c r="L626" s="1669"/>
      <c r="M626" s="1675"/>
      <c r="N626" s="1675"/>
      <c r="O626" s="1675"/>
      <c r="P626" s="1675"/>
      <c r="Q626" s="1675"/>
      <c r="R626" s="1675"/>
      <c r="S626" s="1675"/>
      <c r="T626" s="1675"/>
      <c r="U626" s="1675"/>
      <c r="V626" s="1675"/>
      <c r="W626" s="1670"/>
      <c r="X626" s="1670"/>
      <c r="Y626" s="1670"/>
      <c r="Z626" s="1403"/>
      <c r="AA626" s="1403"/>
      <c r="AB626" s="1404"/>
      <c r="AC626" s="1682"/>
      <c r="AD626" s="1683"/>
      <c r="AE626" s="1684"/>
      <c r="AF626" s="1402"/>
      <c r="AG626" s="1403"/>
      <c r="AH626" s="1403"/>
      <c r="AI626" s="1403"/>
      <c r="AJ626" s="1404"/>
      <c r="AK626" s="1596"/>
      <c r="AL626" s="1597"/>
      <c r="AM626" s="1597"/>
      <c r="AN626" s="1598"/>
      <c r="AO626" s="1675"/>
      <c r="AP626" s="1675"/>
      <c r="AQ626" s="1675"/>
      <c r="AR626" s="1675"/>
      <c r="AS626" s="1675"/>
      <c r="AT626" s="3"/>
      <c r="AU626" s="3"/>
      <c r="AZ626" s="3"/>
      <c r="BA626" s="3"/>
      <c r="BB626" s="3"/>
      <c r="BC626" s="3"/>
      <c r="BD626" s="3"/>
    </row>
    <row r="627" spans="2:157" ht="12.95" customHeight="1">
      <c r="B627" s="51" t="s">
        <v>112</v>
      </c>
      <c r="C627" s="1479" t="s">
        <v>2727</v>
      </c>
      <c r="D627" s="1479"/>
      <c r="E627" s="1479"/>
      <c r="F627" s="1479"/>
      <c r="G627" s="1479"/>
      <c r="H627" s="1479"/>
      <c r="I627" s="1479"/>
      <c r="J627" s="1479"/>
      <c r="K627" s="1479"/>
      <c r="L627" s="1479"/>
      <c r="M627" s="1493" t="s">
        <v>2113</v>
      </c>
      <c r="N627" s="1493"/>
      <c r="O627" s="1493"/>
      <c r="P627" s="1493"/>
      <c r="Q627" s="1509">
        <f>17*12</f>
        <v>204</v>
      </c>
      <c r="R627" s="1509"/>
      <c r="S627" s="1510"/>
      <c r="T627" s="1508">
        <f>40*12</f>
        <v>480</v>
      </c>
      <c r="U627" s="1509"/>
      <c r="V627" s="1510"/>
      <c r="W627" s="1480">
        <v>6.25E-2</v>
      </c>
      <c r="X627" s="1481"/>
      <c r="Y627" s="1482"/>
      <c r="Z627" s="1476" t="s">
        <v>2131</v>
      </c>
      <c r="AA627" s="1477"/>
      <c r="AB627" s="1478"/>
      <c r="AC627" s="1381">
        <v>1</v>
      </c>
      <c r="AD627" s="1382"/>
      <c r="AE627" s="1383"/>
      <c r="AF627" s="1490">
        <v>255530</v>
      </c>
      <c r="AG627" s="1491"/>
      <c r="AH627" s="1491"/>
      <c r="AI627" s="1491"/>
      <c r="AJ627" s="1492"/>
      <c r="AK627" s="1484"/>
      <c r="AL627" s="1485"/>
      <c r="AM627" s="1485"/>
      <c r="AN627" s="1486"/>
      <c r="AO627" s="1638">
        <v>3750688</v>
      </c>
      <c r="AP627" s="1638"/>
      <c r="AQ627" s="1638"/>
      <c r="AR627" s="1638"/>
      <c r="AS627" s="1638"/>
      <c r="AT627" s="3"/>
      <c r="AU627" s="3"/>
      <c r="AZ627" s="3"/>
      <c r="BA627" s="3"/>
      <c r="BB627" s="3"/>
      <c r="BC627" s="3"/>
      <c r="BD627" s="3"/>
    </row>
    <row r="628" spans="2:157" ht="12.95" customHeight="1">
      <c r="B628" s="52" t="s">
        <v>113</v>
      </c>
      <c r="C628" s="1479" t="s">
        <v>2320</v>
      </c>
      <c r="D628" s="1479"/>
      <c r="E628" s="1479"/>
      <c r="F628" s="1479"/>
      <c r="G628" s="1479"/>
      <c r="H628" s="1479"/>
      <c r="I628" s="1479"/>
      <c r="J628" s="1479"/>
      <c r="K628" s="1479"/>
      <c r="L628" s="1479"/>
      <c r="M628" s="1493" t="s">
        <v>2106</v>
      </c>
      <c r="N628" s="1493"/>
      <c r="O628" s="1493"/>
      <c r="P628" s="1493"/>
      <c r="Q628" s="1508"/>
      <c r="R628" s="1509"/>
      <c r="S628" s="1510"/>
      <c r="T628" s="1508"/>
      <c r="U628" s="1509"/>
      <c r="V628" s="1510"/>
      <c r="W628" s="1480"/>
      <c r="X628" s="1481"/>
      <c r="Y628" s="1482"/>
      <c r="Z628" s="1476" t="s">
        <v>457</v>
      </c>
      <c r="AA628" s="1477"/>
      <c r="AB628" s="1478"/>
      <c r="AC628" s="1381"/>
      <c r="AD628" s="1382"/>
      <c r="AE628" s="1383"/>
      <c r="AF628" s="1490"/>
      <c r="AG628" s="1491"/>
      <c r="AH628" s="1491"/>
      <c r="AI628" s="1491"/>
      <c r="AJ628" s="1492"/>
      <c r="AK628" s="1484"/>
      <c r="AL628" s="1485"/>
      <c r="AM628" s="1485"/>
      <c r="AN628" s="1486"/>
      <c r="AO628" s="1475">
        <v>3905043</v>
      </c>
      <c r="AP628" s="1338"/>
      <c r="AQ628" s="1338"/>
      <c r="AR628" s="1338"/>
      <c r="AS628" s="1339"/>
      <c r="AT628" s="1148" t="str">
        <f>IF(AND(NOT(C627=""),C628="",NOT(C629="")),"!","")</f>
        <v/>
      </c>
      <c r="AU628" s="3"/>
      <c r="AZ628" s="3"/>
      <c r="BA628" s="3"/>
      <c r="BB628" s="3"/>
      <c r="BC628" s="3"/>
      <c r="BD628" s="3"/>
    </row>
    <row r="629" spans="2:157" ht="12.95" customHeight="1">
      <c r="B629" s="52" t="s">
        <v>119</v>
      </c>
      <c r="C629" s="1479" t="s">
        <v>2706</v>
      </c>
      <c r="D629" s="1479"/>
      <c r="E629" s="1479"/>
      <c r="F629" s="1479"/>
      <c r="G629" s="1479"/>
      <c r="H629" s="1479"/>
      <c r="I629" s="1479"/>
      <c r="J629" s="1479"/>
      <c r="K629" s="1479"/>
      <c r="L629" s="1479"/>
      <c r="M629" s="1493" t="s">
        <v>2115</v>
      </c>
      <c r="N629" s="1493"/>
      <c r="O629" s="1493"/>
      <c r="P629" s="1493"/>
      <c r="Q629" s="1508">
        <v>660</v>
      </c>
      <c r="R629" s="1509"/>
      <c r="S629" s="1510"/>
      <c r="T629" s="1508"/>
      <c r="U629" s="1509"/>
      <c r="V629" s="1510"/>
      <c r="W629" s="1480">
        <v>0.03</v>
      </c>
      <c r="X629" s="1481"/>
      <c r="Y629" s="1482"/>
      <c r="Z629" s="1476" t="s">
        <v>457</v>
      </c>
      <c r="AA629" s="1477"/>
      <c r="AB629" s="1478"/>
      <c r="AC629" s="1381">
        <v>2</v>
      </c>
      <c r="AD629" s="1382"/>
      <c r="AE629" s="1383"/>
      <c r="AF629" s="1490"/>
      <c r="AG629" s="1491"/>
      <c r="AH629" s="1491"/>
      <c r="AI629" s="1491"/>
      <c r="AJ629" s="1492"/>
      <c r="AK629" s="1484"/>
      <c r="AL629" s="1485"/>
      <c r="AM629" s="1485"/>
      <c r="AN629" s="1486"/>
      <c r="AO629" s="1475">
        <v>3000000</v>
      </c>
      <c r="AP629" s="1338"/>
      <c r="AQ629" s="1338"/>
      <c r="AR629" s="1338"/>
      <c r="AS629" s="1339"/>
      <c r="AT629" s="1148" t="str">
        <f t="shared" ref="AT629:AT638" si="2">IF(AND(NOT(C628=""),C629="",NOT(C630="")),"!","")</f>
        <v/>
      </c>
      <c r="AU629" s="3"/>
      <c r="AZ629" s="3"/>
      <c r="BA629" s="3"/>
      <c r="BB629" s="3"/>
      <c r="BC629" s="3"/>
      <c r="BD629" s="3"/>
    </row>
    <row r="630" spans="2:157" ht="12.95" customHeight="1">
      <c r="B630" s="52" t="s">
        <v>581</v>
      </c>
      <c r="C630" s="1489" t="s">
        <v>2707</v>
      </c>
      <c r="D630" s="1489"/>
      <c r="E630" s="1489"/>
      <c r="F630" s="1489"/>
      <c r="G630" s="1489"/>
      <c r="H630" s="1489"/>
      <c r="I630" s="1489"/>
      <c r="J630" s="1489"/>
      <c r="K630" s="1489"/>
      <c r="L630" s="1489"/>
      <c r="M630" s="1493" t="s">
        <v>2115</v>
      </c>
      <c r="N630" s="1493"/>
      <c r="O630" s="1493"/>
      <c r="P630" s="1493"/>
      <c r="Q630" s="1508">
        <v>660</v>
      </c>
      <c r="R630" s="1509"/>
      <c r="S630" s="1510"/>
      <c r="T630" s="1508"/>
      <c r="U630" s="1509"/>
      <c r="V630" s="1510"/>
      <c r="W630" s="1480">
        <v>0.03</v>
      </c>
      <c r="X630" s="1481"/>
      <c r="Y630" s="1482"/>
      <c r="Z630" s="1476" t="s">
        <v>457</v>
      </c>
      <c r="AA630" s="1477"/>
      <c r="AB630" s="1478"/>
      <c r="AC630" s="1381">
        <v>2</v>
      </c>
      <c r="AD630" s="1382"/>
      <c r="AE630" s="1383"/>
      <c r="AF630" s="1490"/>
      <c r="AG630" s="1491"/>
      <c r="AH630" s="1491"/>
      <c r="AI630" s="1491"/>
      <c r="AJ630" s="1492"/>
      <c r="AK630" s="1484"/>
      <c r="AL630" s="1485"/>
      <c r="AM630" s="1485"/>
      <c r="AN630" s="1486"/>
      <c r="AO630" s="1475">
        <v>4000000</v>
      </c>
      <c r="AP630" s="1338"/>
      <c r="AQ630" s="1338"/>
      <c r="AR630" s="1338"/>
      <c r="AS630" s="1339"/>
      <c r="AT630" s="1148" t="str">
        <f t="shared" si="2"/>
        <v/>
      </c>
      <c r="AU630" s="3"/>
      <c r="AZ630" s="3"/>
      <c r="BA630" s="3"/>
      <c r="BB630" s="3"/>
      <c r="BC630" s="3"/>
      <c r="BD630" s="3"/>
    </row>
    <row r="631" spans="2:157" ht="12.95" customHeight="1">
      <c r="B631" s="52" t="s">
        <v>763</v>
      </c>
      <c r="C631" s="1489" t="s">
        <v>2708</v>
      </c>
      <c r="D631" s="1489"/>
      <c r="E631" s="1489"/>
      <c r="F631" s="1489"/>
      <c r="G631" s="1489"/>
      <c r="H631" s="1489"/>
      <c r="I631" s="1489"/>
      <c r="J631" s="1489"/>
      <c r="K631" s="1489"/>
      <c r="L631" s="1489"/>
      <c r="M631" s="1493" t="s">
        <v>2115</v>
      </c>
      <c r="N631" s="1493"/>
      <c r="O631" s="1493"/>
      <c r="P631" s="1493"/>
      <c r="Q631" s="1508">
        <v>660</v>
      </c>
      <c r="R631" s="1509"/>
      <c r="S631" s="1510"/>
      <c r="T631" s="1508"/>
      <c r="U631" s="1509"/>
      <c r="V631" s="1510"/>
      <c r="W631" s="1480">
        <v>0.03</v>
      </c>
      <c r="X631" s="1481"/>
      <c r="Y631" s="1482"/>
      <c r="Z631" s="1476" t="s">
        <v>457</v>
      </c>
      <c r="AA631" s="1477"/>
      <c r="AB631" s="1478"/>
      <c r="AC631" s="1381">
        <v>2</v>
      </c>
      <c r="AD631" s="1382"/>
      <c r="AE631" s="1383"/>
      <c r="AF631" s="1490"/>
      <c r="AG631" s="1491"/>
      <c r="AH631" s="1491"/>
      <c r="AI631" s="1491"/>
      <c r="AJ631" s="1492"/>
      <c r="AK631" s="1484"/>
      <c r="AL631" s="1485"/>
      <c r="AM631" s="1485"/>
      <c r="AN631" s="1486"/>
      <c r="AO631" s="1475">
        <v>4403263</v>
      </c>
      <c r="AP631" s="1338"/>
      <c r="AQ631" s="1338"/>
      <c r="AR631" s="1338"/>
      <c r="AS631" s="1339"/>
      <c r="AT631" s="1148" t="str">
        <f t="shared" si="2"/>
        <v/>
      </c>
      <c r="AU631" s="3"/>
      <c r="AZ631" s="3"/>
      <c r="BA631" s="3"/>
      <c r="BB631" s="3"/>
      <c r="BC631" s="3"/>
      <c r="BD631" s="3"/>
    </row>
    <row r="632" spans="2:157" ht="12.95" customHeight="1">
      <c r="B632" s="52" t="s">
        <v>584</v>
      </c>
      <c r="C632" s="1489" t="s">
        <v>2709</v>
      </c>
      <c r="D632" s="1489"/>
      <c r="E632" s="1489"/>
      <c r="F632" s="1489"/>
      <c r="G632" s="1489"/>
      <c r="H632" s="1489"/>
      <c r="I632" s="1489"/>
      <c r="J632" s="1489"/>
      <c r="K632" s="1489"/>
      <c r="L632" s="1489"/>
      <c r="M632" s="1493" t="s">
        <v>2115</v>
      </c>
      <c r="N632" s="1493"/>
      <c r="O632" s="1493"/>
      <c r="P632" s="1493"/>
      <c r="Q632" s="1508">
        <v>660</v>
      </c>
      <c r="R632" s="1509"/>
      <c r="S632" s="1510"/>
      <c r="T632" s="1508"/>
      <c r="U632" s="1509"/>
      <c r="V632" s="1510"/>
      <c r="W632" s="1480">
        <v>0.03</v>
      </c>
      <c r="X632" s="1481"/>
      <c r="Y632" s="1482"/>
      <c r="Z632" s="1476" t="s">
        <v>457</v>
      </c>
      <c r="AA632" s="1477"/>
      <c r="AB632" s="1478"/>
      <c r="AC632" s="1381">
        <v>2</v>
      </c>
      <c r="AD632" s="1382"/>
      <c r="AE632" s="1383"/>
      <c r="AF632" s="1490"/>
      <c r="AG632" s="1491"/>
      <c r="AH632" s="1491"/>
      <c r="AI632" s="1491"/>
      <c r="AJ632" s="1492"/>
      <c r="AK632" s="1484"/>
      <c r="AL632" s="1485"/>
      <c r="AM632" s="1485"/>
      <c r="AN632" s="1486"/>
      <c r="AO632" s="1475">
        <v>11000000</v>
      </c>
      <c r="AP632" s="1338"/>
      <c r="AQ632" s="1338"/>
      <c r="AR632" s="1338"/>
      <c r="AS632" s="1339"/>
      <c r="AT632" s="1148" t="str">
        <f t="shared" si="2"/>
        <v/>
      </c>
      <c r="AU632" s="3"/>
      <c r="AZ632" s="3"/>
      <c r="BA632" s="3"/>
      <c r="BB632" s="3"/>
      <c r="BC632" s="3"/>
      <c r="BD632" s="3"/>
    </row>
    <row r="633" spans="2:157" ht="12.95" customHeight="1">
      <c r="B633" s="52" t="s">
        <v>455</v>
      </c>
      <c r="C633" s="1489" t="s">
        <v>2614</v>
      </c>
      <c r="D633" s="1489"/>
      <c r="E633" s="1489"/>
      <c r="F633" s="1489"/>
      <c r="G633" s="1489"/>
      <c r="H633" s="1489"/>
      <c r="I633" s="1489"/>
      <c r="J633" s="1489"/>
      <c r="K633" s="1489"/>
      <c r="L633" s="1489"/>
      <c r="M633" s="1493" t="s">
        <v>2115</v>
      </c>
      <c r="N633" s="1493"/>
      <c r="O633" s="1493"/>
      <c r="P633" s="1493"/>
      <c r="Q633" s="1508"/>
      <c r="R633" s="1509"/>
      <c r="S633" s="1510"/>
      <c r="T633" s="1508"/>
      <c r="U633" s="1509"/>
      <c r="V633" s="1510"/>
      <c r="W633" s="1480"/>
      <c r="X633" s="1481"/>
      <c r="Y633" s="1482"/>
      <c r="Z633" s="1476" t="s">
        <v>457</v>
      </c>
      <c r="AA633" s="1477"/>
      <c r="AB633" s="1478"/>
      <c r="AC633" s="1381">
        <v>2</v>
      </c>
      <c r="AD633" s="1382"/>
      <c r="AE633" s="1383"/>
      <c r="AF633" s="1490"/>
      <c r="AG633" s="1491"/>
      <c r="AH633" s="1491"/>
      <c r="AI633" s="1491"/>
      <c r="AJ633" s="1492"/>
      <c r="AK633" s="1484"/>
      <c r="AL633" s="1485"/>
      <c r="AM633" s="1485"/>
      <c r="AN633" s="1486"/>
      <c r="AO633" s="1475">
        <v>1000000</v>
      </c>
      <c r="AP633" s="1338"/>
      <c r="AQ633" s="1338"/>
      <c r="AR633" s="1338"/>
      <c r="AS633" s="1339"/>
      <c r="AT633" s="1148" t="str">
        <f t="shared" si="2"/>
        <v/>
      </c>
      <c r="AU633" s="3"/>
      <c r="AV633" s="3"/>
      <c r="AW633" s="3"/>
      <c r="AX633" s="3"/>
      <c r="AY633" s="3"/>
      <c r="AZ633" s="3"/>
      <c r="BA633" s="3"/>
      <c r="BB633" s="3"/>
      <c r="BC633" s="3"/>
      <c r="BD633" s="3"/>
    </row>
    <row r="634" spans="2:157" ht="12.95"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2"/>
        <v/>
      </c>
      <c r="AU634" s="3"/>
      <c r="AV634" s="3"/>
      <c r="AW634" s="3"/>
      <c r="AX634" s="3"/>
      <c r="AY634" s="3"/>
      <c r="AZ634" s="3"/>
      <c r="BA634" s="3" t="s">
        <v>1184</v>
      </c>
      <c r="BB634" s="3"/>
      <c r="BC634" s="3"/>
      <c r="BD634" s="3"/>
    </row>
    <row r="635" spans="2:157" ht="12.95"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3">EZ718*(CP718/$CP$753)</f>
        <v>#VALUE!</v>
      </c>
      <c r="DY635" s="1369"/>
      <c r="DZ635" s="1369"/>
      <c r="EA635" s="1369"/>
      <c r="EB635" s="1369"/>
      <c r="EC635" s="1369">
        <f t="shared" ref="EC635:EC669" si="4">FE718*(CU718/$CU$753)</f>
        <v>327.06666666666666</v>
      </c>
      <c r="ED635" s="1369"/>
      <c r="EE635" s="1369"/>
      <c r="EF635" s="1369"/>
      <c r="EG635" s="1369"/>
      <c r="EH635" s="1369" t="e">
        <f t="shared" ref="EH635:EH669" si="5">FJ718*(CZ718/$CZ$753)</f>
        <v>#VALUE!</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2.95"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f t="shared" si="4"/>
        <v>863.5</v>
      </c>
      <c r="ED636" s="1369"/>
      <c r="EE636" s="1369"/>
      <c r="EF636" s="1369"/>
      <c r="EG636" s="1369"/>
      <c r="EH636" s="1369" t="e">
        <f t="shared" si="5"/>
        <v>#VALUE!</v>
      </c>
      <c r="EI636" s="1369"/>
      <c r="EJ636" s="1369"/>
      <c r="EK636" s="1369"/>
      <c r="EL636" s="1369"/>
      <c r="EM636" s="1369" t="e">
        <f t="shared" si="6"/>
        <v>#VALUE!</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f t="shared" si="4"/>
        <v>101.42</v>
      </c>
      <c r="ED637" s="1369"/>
      <c r="EE637" s="1369"/>
      <c r="EF637" s="1369"/>
      <c r="EG637" s="1369"/>
      <c r="EH637" s="1369" t="e">
        <f t="shared" si="5"/>
        <v>#VALUE!</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f t="shared" si="5"/>
        <v>650.5333333333333</v>
      </c>
      <c r="EI638" s="1369"/>
      <c r="EJ638" s="1369"/>
      <c r="EK638" s="1369"/>
      <c r="EL638" s="1369"/>
      <c r="EM638" s="1369" t="e">
        <f t="shared" si="6"/>
        <v>#VALUE!</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31058994</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3"/>
        <v>#VALUE!</v>
      </c>
      <c r="DY639" s="1369"/>
      <c r="DZ639" s="1369"/>
      <c r="EA639" s="1369"/>
      <c r="EB639" s="1369"/>
      <c r="EC639" s="1369" t="e">
        <f t="shared" si="4"/>
        <v>#VALUE!</v>
      </c>
      <c r="ED639" s="1369"/>
      <c r="EE639" s="1369"/>
      <c r="EF639" s="1369"/>
      <c r="EG639" s="1369"/>
      <c r="EH639" s="1369">
        <f t="shared" si="5"/>
        <v>1257.0555555555557</v>
      </c>
      <c r="EI639" s="1369"/>
      <c r="EJ639" s="1369"/>
      <c r="EK639" s="1369"/>
      <c r="EL639" s="1369"/>
      <c r="EM639" s="1369" t="e">
        <f t="shared" si="6"/>
        <v>#VALUE!</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26178823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t="e">
        <f t="shared" si="4"/>
        <v>#VALUE!</v>
      </c>
      <c r="ED640" s="1369"/>
      <c r="EE640" s="1369"/>
      <c r="EF640" s="1369"/>
      <c r="EG640" s="1369"/>
      <c r="EH640" s="1369">
        <f t="shared" si="5"/>
        <v>26.349999999999998</v>
      </c>
      <c r="EI640" s="1369"/>
      <c r="EJ640" s="1369"/>
      <c r="EK640" s="1369"/>
      <c r="EL640" s="1369"/>
      <c r="EM640" s="1369" t="e">
        <f t="shared" si="6"/>
        <v>#VALUE!</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2.95" customHeight="1">
      <c r="B641" s="1833"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57237817</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t="e">
        <f t="shared" si="5"/>
        <v>#VALUE!</v>
      </c>
      <c r="EI641" s="1369"/>
      <c r="EJ641" s="1369"/>
      <c r="EK641" s="1369"/>
      <c r="EL641" s="1369"/>
      <c r="EM641" s="1369">
        <f t="shared" si="6"/>
        <v>840.65</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t="e">
        <f t="shared" si="5"/>
        <v>#VALUE!</v>
      </c>
      <c r="EI642" s="1369"/>
      <c r="EJ642" s="1369"/>
      <c r="EK642" s="1369"/>
      <c r="EL642" s="1369"/>
      <c r="EM642" s="1369">
        <f t="shared" si="6"/>
        <v>1325.8125</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2.95" customHeight="1">
      <c r="A643" s="55" t="s">
        <v>112</v>
      </c>
      <c r="B643" t="s">
        <v>463</v>
      </c>
      <c r="G643" s="1483" t="str">
        <f>C627</f>
        <v>Citi Permanent Loan</v>
      </c>
      <c r="H643" s="1483"/>
      <c r="I643" s="1483"/>
      <c r="J643" s="1483"/>
      <c r="K643" s="1483"/>
      <c r="L643" s="1483"/>
      <c r="M643" s="1483"/>
      <c r="N643" s="1483"/>
      <c r="O643" s="1483"/>
      <c r="P643" s="1483"/>
      <c r="Q643" s="1483"/>
      <c r="R643" s="1483"/>
      <c r="S643" s="8"/>
      <c r="T643" s="55" t="s">
        <v>113</v>
      </c>
      <c r="U643" t="s">
        <v>463</v>
      </c>
      <c r="Z643" s="1483" t="str">
        <f>C628</f>
        <v>Deferred Developer Fee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3"/>
        <v>#VALUE!</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f t="shared" si="6"/>
        <v>32.418750000000003</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2.95" customHeight="1">
      <c r="A644" s="22"/>
      <c r="B644" t="s">
        <v>85</v>
      </c>
      <c r="G644" s="1407" t="s">
        <v>2711</v>
      </c>
      <c r="H644" s="1407"/>
      <c r="I644" s="1407"/>
      <c r="J644" s="1407"/>
      <c r="K644" s="1407"/>
      <c r="L644" s="1407"/>
      <c r="M644" s="1407"/>
      <c r="N644" s="1407"/>
      <c r="O644" s="1407"/>
      <c r="P644" s="1407"/>
      <c r="Q644" s="1407"/>
      <c r="R644" s="1407"/>
      <c r="S644" s="8"/>
      <c r="T644" s="22"/>
      <c r="U644" t="s">
        <v>85</v>
      </c>
      <c r="Z644" s="1407" t="s">
        <v>2726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t="e">
        <f t="shared" si="4"/>
        <v>#VALUE!</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2.95" customHeight="1">
      <c r="A645" s="22"/>
      <c r="B645" t="s">
        <v>580</v>
      </c>
      <c r="G645" s="1407" t="s">
        <v>2712</v>
      </c>
      <c r="H645" s="1407"/>
      <c r="I645" s="1407"/>
      <c r="J645" s="1407"/>
      <c r="K645" s="1407"/>
      <c r="L645" s="1407"/>
      <c r="M645" s="1407"/>
      <c r="N645" s="1407"/>
      <c r="O645" s="1407"/>
      <c r="P645" s="1407"/>
      <c r="Q645" s="1407"/>
      <c r="R645" s="1407"/>
      <c r="T645" s="22"/>
      <c r="U645" t="s">
        <v>580</v>
      </c>
      <c r="Z645" s="1371" t="s">
        <v>729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t="e">
        <f t="shared" si="5"/>
        <v>#VALUE!</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2.95" customHeight="1">
      <c r="A646" s="22"/>
      <c r="B646" t="s">
        <v>17</v>
      </c>
      <c r="G646" s="1407" t="s">
        <v>2713</v>
      </c>
      <c r="H646" s="1407"/>
      <c r="I646" s="1407"/>
      <c r="J646" s="1407"/>
      <c r="K646" s="1407"/>
      <c r="L646" s="1407"/>
      <c r="M646" s="1407"/>
      <c r="N646" s="1407"/>
      <c r="O646" s="1407"/>
      <c r="P646" s="1407"/>
      <c r="Q646" s="1407"/>
      <c r="R646" s="1407"/>
      <c r="S646" s="8"/>
      <c r="T646" s="22"/>
      <c r="U646" t="s">
        <v>17</v>
      </c>
      <c r="Z646" s="1371" t="s">
        <v>2626</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t="e">
        <f t="shared" si="6"/>
        <v>#VALUE!</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2.95" customHeight="1">
      <c r="A647" s="22"/>
      <c r="B647" t="s">
        <v>316</v>
      </c>
      <c r="G647" s="1487" t="s">
        <v>2714</v>
      </c>
      <c r="H647" s="1487"/>
      <c r="I647" s="1487"/>
      <c r="J647" s="1487"/>
      <c r="K647" s="1487"/>
      <c r="L647" s="1487"/>
      <c r="O647" s="33" t="s">
        <v>206</v>
      </c>
      <c r="P647" s="1471"/>
      <c r="Q647" s="1471"/>
      <c r="R647" s="1471"/>
      <c r="S647" s="10"/>
      <c r="T647" s="22"/>
      <c r="U647" t="s">
        <v>316</v>
      </c>
      <c r="Z647" s="1487" t="s">
        <v>2627</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3"/>
        <v>#VALUE!</v>
      </c>
      <c r="DY647" s="1369"/>
      <c r="DZ647" s="1369"/>
      <c r="EA647" s="1369"/>
      <c r="EB647" s="1369"/>
      <c r="EC647" s="1369" t="e">
        <f t="shared" si="4"/>
        <v>#VALUE!</v>
      </c>
      <c r="ED647" s="1369"/>
      <c r="EE647" s="1369"/>
      <c r="EF647" s="1369"/>
      <c r="EG647" s="1369"/>
      <c r="EH647" s="1369" t="e">
        <f t="shared" si="5"/>
        <v>#VALUE!</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2.95" customHeight="1">
      <c r="A648" s="22"/>
      <c r="B648" t="s">
        <v>18</v>
      </c>
      <c r="H648" s="1407" t="s">
        <v>2113</v>
      </c>
      <c r="I648" s="1407"/>
      <c r="J648" s="1407"/>
      <c r="K648" s="1407"/>
      <c r="L648" s="1407"/>
      <c r="M648" s="1407"/>
      <c r="N648" s="1407"/>
      <c r="O648" s="1407"/>
      <c r="P648" s="1407"/>
      <c r="Q648" s="1407"/>
      <c r="R648" s="1407"/>
      <c r="S648" s="8"/>
      <c r="T648" s="22"/>
      <c r="U648" t="s">
        <v>18</v>
      </c>
      <c r="AA648" s="1407" t="s">
        <v>458</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t="e">
        <f t="shared" si="4"/>
        <v>#VALUE!</v>
      </c>
      <c r="ED648" s="1369"/>
      <c r="EE648" s="1369"/>
      <c r="EF648" s="1369"/>
      <c r="EG648" s="1369"/>
      <c r="EH648" s="1369" t="e">
        <f t="shared" si="5"/>
        <v>#VALUE!</v>
      </c>
      <c r="EI648" s="1369"/>
      <c r="EJ648" s="1369"/>
      <c r="EK648" s="1369"/>
      <c r="EL648" s="1369"/>
      <c r="EM648" s="1369" t="e">
        <f t="shared" si="6"/>
        <v>#VALUE!</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t="e">
        <f t="shared" si="4"/>
        <v>#VALUE!</v>
      </c>
      <c r="ED649" s="1369"/>
      <c r="EE649" s="1369"/>
      <c r="EF649" s="1369"/>
      <c r="EG649" s="1369"/>
      <c r="EH649" s="1369" t="e">
        <f t="shared" si="5"/>
        <v>#VALUE!</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t="e">
        <f t="shared" si="5"/>
        <v>#VALUE!</v>
      </c>
      <c r="EI650" s="1369"/>
      <c r="EJ650" s="1369"/>
      <c r="EK650" s="1369"/>
      <c r="EL650" s="1369"/>
      <c r="EM650" s="1369" t="e">
        <f t="shared" si="6"/>
        <v>#VALUE!</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2.95" customHeight="1">
      <c r="A651" s="55" t="s">
        <v>119</v>
      </c>
      <c r="B651" t="s">
        <v>463</v>
      </c>
      <c r="G651" s="1483" t="str">
        <f>C629</f>
        <v>SMC AHF 12.5</v>
      </c>
      <c r="H651" s="1483"/>
      <c r="I651" s="1483"/>
      <c r="J651" s="1483"/>
      <c r="K651" s="1483"/>
      <c r="L651" s="1483"/>
      <c r="M651" s="1483"/>
      <c r="N651" s="1483"/>
      <c r="O651" s="1483"/>
      <c r="P651" s="1483"/>
      <c r="Q651" s="1483"/>
      <c r="R651" s="1483"/>
      <c r="T651" s="55" t="s">
        <v>581</v>
      </c>
      <c r="U651" t="s">
        <v>463</v>
      </c>
      <c r="Z651" s="1483" t="str">
        <f>C630</f>
        <v>SMC AHF 12.0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3"/>
        <v>#VALUE!</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t="e">
        <f t="shared" si="6"/>
        <v>#VALUE!</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2.95" customHeight="1">
      <c r="A652" s="22"/>
      <c r="B652" t="s">
        <v>85</v>
      </c>
      <c r="G652" s="1407" t="s">
        <v>2718</v>
      </c>
      <c r="H652" s="1407"/>
      <c r="I652" s="1407"/>
      <c r="J652" s="1407"/>
      <c r="K652" s="1407"/>
      <c r="L652" s="1407"/>
      <c r="M652" s="1407"/>
      <c r="N652" s="1407"/>
      <c r="O652" s="1407"/>
      <c r="P652" s="1407"/>
      <c r="Q652" s="1407"/>
      <c r="R652" s="1407"/>
      <c r="T652" s="22"/>
      <c r="U652" t="s">
        <v>85</v>
      </c>
      <c r="Z652" s="1407" t="s">
        <v>2718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t="e">
        <f t="shared" si="4"/>
        <v>#VALUE!</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2.95" customHeight="1">
      <c r="A653" s="22"/>
      <c r="B653" t="s">
        <v>580</v>
      </c>
      <c r="G653" s="1371" t="s">
        <v>2719</v>
      </c>
      <c r="H653" s="1371"/>
      <c r="I653" s="1371"/>
      <c r="J653" s="1371"/>
      <c r="K653" s="1371"/>
      <c r="L653" s="1371"/>
      <c r="M653" s="1371"/>
      <c r="N653" s="1371"/>
      <c r="O653" s="1371"/>
      <c r="P653" s="1371"/>
      <c r="Q653" s="1371"/>
      <c r="R653" s="1371"/>
      <c r="T653" s="22"/>
      <c r="U653" t="s">
        <v>580</v>
      </c>
      <c r="Z653" s="1371" t="s">
        <v>2719</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t="e">
        <f t="shared" si="5"/>
        <v>#VALUE!</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2.95" customHeight="1">
      <c r="A654" s="22"/>
      <c r="B654" t="s">
        <v>17</v>
      </c>
      <c r="G654" s="1371" t="s">
        <v>2720</v>
      </c>
      <c r="H654" s="1371"/>
      <c r="I654" s="1371"/>
      <c r="J654" s="1371"/>
      <c r="K654" s="1371"/>
      <c r="L654" s="1371"/>
      <c r="M654" s="1371"/>
      <c r="N654" s="1371"/>
      <c r="O654" s="1371"/>
      <c r="P654" s="1371"/>
      <c r="Q654" s="1371"/>
      <c r="R654" s="1371"/>
      <c r="T654" s="22"/>
      <c r="U654" t="s">
        <v>17</v>
      </c>
      <c r="Z654" s="1371" t="s">
        <v>2720</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t="e">
        <f t="shared" si="6"/>
        <v>#VALUE!</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2.95" customHeight="1">
      <c r="A655" s="22"/>
      <c r="B655" t="s">
        <v>316</v>
      </c>
      <c r="G655" s="1487" t="s">
        <v>2721</v>
      </c>
      <c r="H655" s="1487"/>
      <c r="I655" s="1487"/>
      <c r="J655" s="1487"/>
      <c r="K655" s="1487"/>
      <c r="L655" s="1487"/>
      <c r="O655" s="33" t="s">
        <v>206</v>
      </c>
      <c r="P655" s="1471"/>
      <c r="Q655" s="1471"/>
      <c r="R655" s="1471"/>
      <c r="T655" s="22"/>
      <c r="U655" t="s">
        <v>316</v>
      </c>
      <c r="Z655" s="1487" t="s">
        <v>2721</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2.95" customHeight="1">
      <c r="A656" s="22"/>
      <c r="B656" t="s">
        <v>18</v>
      </c>
      <c r="H656" s="1407" t="s">
        <v>2115</v>
      </c>
      <c r="I656" s="1407"/>
      <c r="J656" s="1407"/>
      <c r="K656" s="1407"/>
      <c r="L656" s="1407"/>
      <c r="M656" s="1407"/>
      <c r="N656" s="1407"/>
      <c r="O656" s="1407"/>
      <c r="P656" s="1407"/>
      <c r="Q656" s="1407"/>
      <c r="R656" s="1407"/>
      <c r="T656" s="22"/>
      <c r="U656" t="s">
        <v>18</v>
      </c>
      <c r="AA656" s="1407" t="s">
        <v>2115</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2.95" customHeight="1">
      <c r="A659" s="55" t="s">
        <v>763</v>
      </c>
      <c r="B659" t="s">
        <v>463</v>
      </c>
      <c r="G659" s="1483" t="str">
        <f>C631</f>
        <v>SMC AHF 11.0</v>
      </c>
      <c r="H659" s="1483"/>
      <c r="I659" s="1483"/>
      <c r="J659" s="1483"/>
      <c r="K659" s="1483"/>
      <c r="L659" s="1483"/>
      <c r="M659" s="1483"/>
      <c r="N659" s="1483"/>
      <c r="O659" s="1483"/>
      <c r="P659" s="1483"/>
      <c r="Q659" s="1483"/>
      <c r="R659" s="1483"/>
      <c r="T659" s="55" t="s">
        <v>584</v>
      </c>
      <c r="U659" t="s">
        <v>463</v>
      </c>
      <c r="Z659" s="1483" t="str">
        <f>C632</f>
        <v>SMC AHF 13.0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2.95" customHeight="1">
      <c r="A660" s="22"/>
      <c r="B660" t="s">
        <v>85</v>
      </c>
      <c r="G660" s="1407" t="s">
        <v>2718</v>
      </c>
      <c r="H660" s="1407"/>
      <c r="I660" s="1407"/>
      <c r="J660" s="1407"/>
      <c r="K660" s="1407"/>
      <c r="L660" s="1407"/>
      <c r="M660" s="1407"/>
      <c r="N660" s="1407"/>
      <c r="O660" s="1407"/>
      <c r="P660" s="1407"/>
      <c r="Q660" s="1407"/>
      <c r="R660" s="1407"/>
      <c r="T660" s="22"/>
      <c r="U660" t="s">
        <v>85</v>
      </c>
      <c r="Z660" s="1407" t="s">
        <v>2718</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2.95" customHeight="1">
      <c r="A661" s="22"/>
      <c r="B661" t="s">
        <v>580</v>
      </c>
      <c r="G661" s="1407" t="s">
        <v>2719</v>
      </c>
      <c r="H661" s="1407"/>
      <c r="I661" s="1407"/>
      <c r="J661" s="1407"/>
      <c r="K661" s="1407"/>
      <c r="L661" s="1407"/>
      <c r="M661" s="1407"/>
      <c r="N661" s="1407"/>
      <c r="O661" s="1407"/>
      <c r="P661" s="1407"/>
      <c r="Q661" s="1407"/>
      <c r="R661" s="1407"/>
      <c r="T661" s="22"/>
      <c r="U661" t="s">
        <v>580</v>
      </c>
      <c r="Z661" s="1371" t="s">
        <v>2719</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2.95" customHeight="1">
      <c r="A662" s="22"/>
      <c r="B662" t="s">
        <v>17</v>
      </c>
      <c r="G662" s="1407" t="s">
        <v>2720</v>
      </c>
      <c r="H662" s="1407"/>
      <c r="I662" s="1407"/>
      <c r="J662" s="1407"/>
      <c r="K662" s="1407"/>
      <c r="L662" s="1407"/>
      <c r="M662" s="1407"/>
      <c r="N662" s="1407"/>
      <c r="O662" s="1407"/>
      <c r="P662" s="1407"/>
      <c r="Q662" s="1407"/>
      <c r="R662" s="1407"/>
      <c r="T662" s="22"/>
      <c r="U662" t="s">
        <v>17</v>
      </c>
      <c r="Z662" s="1371" t="s">
        <v>2720</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2.95" customHeight="1">
      <c r="A663" s="22"/>
      <c r="B663" t="s">
        <v>316</v>
      </c>
      <c r="G663" s="1487" t="s">
        <v>2721</v>
      </c>
      <c r="H663" s="1487"/>
      <c r="I663" s="1487"/>
      <c r="J663" s="1487"/>
      <c r="K663" s="1487"/>
      <c r="L663" s="1487"/>
      <c r="O663" s="33" t="s">
        <v>206</v>
      </c>
      <c r="P663" s="1471"/>
      <c r="Q663" s="1471"/>
      <c r="R663" s="1471"/>
      <c r="T663" s="22"/>
      <c r="U663" t="s">
        <v>316</v>
      </c>
      <c r="Z663" s="1487" t="s">
        <v>2721</v>
      </c>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2.95" customHeight="1">
      <c r="A664" s="22"/>
      <c r="B664" t="s">
        <v>18</v>
      </c>
      <c r="H664" s="1407" t="s">
        <v>2115</v>
      </c>
      <c r="I664" s="1407"/>
      <c r="J664" s="1407"/>
      <c r="K664" s="1407"/>
      <c r="L664" s="1407"/>
      <c r="M664" s="1407"/>
      <c r="N664" s="1407"/>
      <c r="O664" s="1407"/>
      <c r="P664" s="1407"/>
      <c r="Q664" s="1407"/>
      <c r="R664" s="1407"/>
      <c r="T664" s="22"/>
      <c r="U664" t="s">
        <v>18</v>
      </c>
      <c r="AA664" s="1407" t="s">
        <v>2115</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2.95" customHeight="1">
      <c r="A665" s="22"/>
      <c r="B665" t="s">
        <v>20</v>
      </c>
      <c r="N665" s="1415" t="s">
        <v>545</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2.95" customHeight="1">
      <c r="A667" s="55" t="s">
        <v>455</v>
      </c>
      <c r="B667" t="s">
        <v>463</v>
      </c>
      <c r="G667" s="1483" t="str">
        <f>C633</f>
        <v>City of Belmont</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2.95" customHeight="1">
      <c r="A668" s="22"/>
      <c r="B668" t="s">
        <v>85</v>
      </c>
      <c r="G668" s="1407" t="s">
        <v>2722</v>
      </c>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2.95" customHeight="1">
      <c r="A669" s="22"/>
      <c r="B669" t="s">
        <v>580</v>
      </c>
      <c r="G669" s="1407" t="s">
        <v>2723</v>
      </c>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2.95" customHeight="1">
      <c r="A670" s="22"/>
      <c r="B670" t="s">
        <v>17</v>
      </c>
      <c r="G670" s="1407" t="s">
        <v>2724</v>
      </c>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1291.9866666666667</v>
      </c>
      <c r="ED670" s="1369"/>
      <c r="EE670" s="1369"/>
      <c r="EF670" s="1369"/>
      <c r="EG670" s="1369"/>
      <c r="EH670" s="1369">
        <f>SUMIF(EH635:EL669,"&gt;0")</f>
        <v>1933.9388888888889</v>
      </c>
      <c r="EI670" s="1369"/>
      <c r="EJ670" s="1369"/>
      <c r="EK670" s="1369"/>
      <c r="EL670" s="1369"/>
      <c r="EM670" s="1369">
        <f>SUMIF(EM635:EQ669,"&gt;0")</f>
        <v>2198.8812499999999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t="s">
        <v>2725</v>
      </c>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t="s">
        <v>2115</v>
      </c>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545</v>
      </c>
      <c r="O673" s="1415"/>
      <c r="T673" s="22"/>
      <c r="U673" t="s">
        <v>20</v>
      </c>
      <c r="AG673" s="1415" t="s">
        <v>669</v>
      </c>
      <c r="AH673" s="1415"/>
      <c r="AZ673" s="3"/>
    </row>
    <row r="674" spans="1:52" ht="12.95" customHeight="1">
      <c r="A674" s="22"/>
      <c r="T674" s="22"/>
      <c r="AZ674" s="3"/>
    </row>
    <row r="675" spans="1:52" ht="12.9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669</v>
      </c>
      <c r="O681" s="1415"/>
      <c r="T681" s="22"/>
      <c r="U681" t="s">
        <v>20</v>
      </c>
      <c r="AG681" s="1415" t="s">
        <v>669</v>
      </c>
      <c r="AH681" s="1415"/>
      <c r="AZ681" s="3"/>
    </row>
    <row r="682" spans="1:52" ht="12.95" customHeight="1">
      <c r="A682" s="22"/>
      <c r="T682" s="22"/>
      <c r="AZ682" s="3"/>
    </row>
    <row r="683" spans="1:52" ht="12.95"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669</v>
      </c>
      <c r="AF693" s="1415"/>
      <c r="AZ693" s="3"/>
    </row>
    <row r="694" spans="1:67" ht="12.95" customHeight="1">
      <c r="B694" s="135"/>
      <c r="C694" s="135"/>
      <c r="D694" s="136" t="s">
        <v>438</v>
      </c>
      <c r="E694" s="135"/>
      <c r="F694" s="135"/>
      <c r="G694" s="135"/>
      <c r="H694" s="135"/>
      <c r="AE694" s="1415" t="s">
        <v>669</v>
      </c>
      <c r="AF694" s="1415"/>
      <c r="AZ694" s="3"/>
    </row>
    <row r="695" spans="1:67" ht="12.95" customHeight="1">
      <c r="B695" s="135"/>
      <c r="C695" s="135"/>
      <c r="D695" s="136" t="s">
        <v>920</v>
      </c>
      <c r="E695" s="135"/>
      <c r="F695" s="135"/>
      <c r="G695" s="135"/>
      <c r="H695" s="135"/>
      <c r="AE695" s="1506">
        <v>45909</v>
      </c>
      <c r="AF695" s="1506"/>
      <c r="AG695" s="1506"/>
      <c r="AH695" s="1506"/>
      <c r="AI695" s="1506"/>
    </row>
    <row r="696" spans="1:67" ht="12.95" customHeight="1">
      <c r="B696" s="135"/>
      <c r="C696" s="135"/>
      <c r="D696" s="317" t="s">
        <v>983</v>
      </c>
      <c r="E696" s="135"/>
      <c r="F696" s="135"/>
      <c r="G696" s="135"/>
      <c r="H696" s="135"/>
      <c r="AE696" s="1665" t="s">
        <v>2728</v>
      </c>
      <c r="AF696" s="1665"/>
      <c r="AG696" s="1665"/>
      <c r="AH696" s="1665"/>
      <c r="AI696" s="1665"/>
    </row>
    <row r="697" spans="1:67" ht="12.95" customHeight="1">
      <c r="B697" s="135"/>
      <c r="C697" s="135"/>
    </row>
    <row r="698" spans="1:67" ht="12.95" customHeight="1">
      <c r="B698" s="135"/>
      <c r="C698" s="135"/>
      <c r="D698" s="136" t="s">
        <v>816</v>
      </c>
      <c r="E698" s="135"/>
      <c r="F698" s="135"/>
      <c r="G698" s="135"/>
      <c r="H698" s="135"/>
      <c r="AE698" s="1506">
        <v>46160</v>
      </c>
      <c r="AF698" s="1506"/>
      <c r="AG698" s="1506"/>
      <c r="AH698" s="1506"/>
      <c r="AI698" s="1506"/>
    </row>
    <row r="699" spans="1:67" ht="12.95" customHeight="1">
      <c r="B699" s="135"/>
      <c r="C699" s="135"/>
      <c r="D699" s="136" t="s">
        <v>436</v>
      </c>
      <c r="E699" s="135"/>
      <c r="F699" s="135"/>
      <c r="G699" s="135"/>
      <c r="H699" s="135"/>
      <c r="AE699" s="1686">
        <v>0.29299999999999998</v>
      </c>
      <c r="AF699" s="1686"/>
      <c r="AG699" s="1686"/>
      <c r="AH699" s="1686"/>
      <c r="AI699" s="1686"/>
    </row>
    <row r="700" spans="1:67" ht="12.95"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669</v>
      </c>
      <c r="AF702" s="1415"/>
      <c r="AZ702" s="4" t="s">
        <v>324</v>
      </c>
    </row>
    <row r="703" spans="1:67" ht="12.95"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6" t="s">
        <v>633</v>
      </c>
      <c r="CQ717" s="1797"/>
      <c r="CR717" s="1797"/>
      <c r="CS717" s="1797"/>
      <c r="CT717" s="1798"/>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4</v>
      </c>
      <c r="H718" s="1365"/>
      <c r="I718" s="1365"/>
      <c r="J718" s="1366"/>
      <c r="K718" s="1604">
        <v>560</v>
      </c>
      <c r="L718" s="1605"/>
      <c r="M718" s="1605"/>
      <c r="N718" s="1606"/>
      <c r="O718" s="1468">
        <v>2453</v>
      </c>
      <c r="P718" s="1469"/>
      <c r="Q718" s="1469"/>
      <c r="R718" s="1469"/>
      <c r="S718" s="1470"/>
      <c r="T718" s="1468">
        <v>86</v>
      </c>
      <c r="U718" s="1469"/>
      <c r="V718" s="1469"/>
      <c r="W718" s="1470"/>
      <c r="X718" s="1358">
        <f t="shared" ref="X718:X741" si="9">O718+T718</f>
        <v>2539</v>
      </c>
      <c r="Y718" s="1359"/>
      <c r="Z718" s="1359"/>
      <c r="AA718" s="1359"/>
      <c r="AB718" s="1360"/>
      <c r="AC718" s="1613">
        <v>0.7</v>
      </c>
      <c r="AD718" s="1614"/>
      <c r="AE718" s="1614"/>
      <c r="AF718" s="1614"/>
      <c r="AG718" s="1615"/>
      <c r="AH718" s="1361">
        <f>IF($AC718&gt;0,($X718/$AZ718), "")</f>
        <v>0.70022062879205738</v>
      </c>
      <c r="AI718" s="1362"/>
      <c r="AJ718" s="1363"/>
      <c r="AK718" s="1355" t="s">
        <v>591</v>
      </c>
      <c r="AL718" s="1356"/>
      <c r="AM718" s="1356"/>
      <c r="AN718" s="1356"/>
      <c r="AO718" s="1357"/>
      <c r="AP718" s="3"/>
      <c r="AQ718" s="3"/>
      <c r="AR718" s="3"/>
      <c r="AS718" s="3"/>
      <c r="AZ718" s="118">
        <f t="shared" ref="AZ718:AZ752" si="10">IF($G718=0,"N/A",VLOOKUP($T$189,TC_Rent,(MATCH($B718,bedrooms,FALSE)),FALSE))</f>
        <v>3626</v>
      </c>
      <c r="BA718" s="3"/>
      <c r="BB718" s="3"/>
      <c r="BC718" s="3"/>
      <c r="BD718" s="3"/>
      <c r="BE718" s="204"/>
      <c r="BF718" s="293">
        <f t="shared" ref="BF718:BF752" si="11">G718</f>
        <v>4</v>
      </c>
      <c r="BG718" s="297">
        <f t="shared" ref="BG718:BG752" si="12">IF($BF$753=0,0,BF718/$BF$753)</f>
        <v>6.25E-2</v>
      </c>
      <c r="BH718" s="298">
        <f t="shared" ref="BH718:BH752" si="13">IF(BG718=0,"",BG718*AC718)</f>
        <v>4.3749999999999997E-2</v>
      </c>
      <c r="BI718" s="3"/>
      <c r="BJ718" s="3"/>
      <c r="BK718" s="3"/>
      <c r="BL718" s="3"/>
      <c r="BM718" s="3"/>
      <c r="BN718" s="3"/>
      <c r="BS718" s="293">
        <f t="shared" ref="BS718:BS752" si="14">G718</f>
        <v>4</v>
      </c>
      <c r="BT718" s="297">
        <f t="shared" ref="BT718:BT752" si="15">IF($BS$753=0,0,BS718/$BS$753)</f>
        <v>6.25E-2</v>
      </c>
      <c r="BU718" s="298">
        <f t="shared" ref="BU718:BU752" si="16">IF(BT718=0,"",BT718*AH718)</f>
        <v>4.3763789299503586E-2</v>
      </c>
      <c r="CC718" s="3"/>
      <c r="CD718" s="3"/>
      <c r="CE718" s="3"/>
      <c r="CF718" s="3"/>
      <c r="CG718" s="1351">
        <f>IF(AND(AC718&lt;=0.5,AC718&gt;=0.36),1,0)</f>
        <v>0</v>
      </c>
      <c r="CH718" s="1353"/>
      <c r="CI718" s="1335">
        <f>IF(CG718=1,G718,0)</f>
        <v>0</v>
      </c>
      <c r="CJ718" s="1337"/>
      <c r="CK718" s="1351">
        <f t="shared" ref="CK718:CK752" si="17">IF(AND(AC718&lt;=0.35,AC718&gt;0),1,0)</f>
        <v>0</v>
      </c>
      <c r="CL718" s="1353"/>
      <c r="CM718" s="1335">
        <f t="shared" ref="CM718:CM752" si="18">IF(CK718=1,G718,0)</f>
        <v>0</v>
      </c>
      <c r="CN718" s="1337"/>
      <c r="CO718" s="3"/>
      <c r="CP718" s="1332">
        <f t="shared" ref="CP718:CP752" si="19">IF(B718="SRO/Studio",G718,0)</f>
        <v>0</v>
      </c>
      <c r="CQ718" s="1333"/>
      <c r="CR718" s="1333"/>
      <c r="CS718" s="1333"/>
      <c r="CT718" s="1334"/>
      <c r="CU718" s="1354">
        <f t="shared" ref="CU718:CU752" si="20">IF(B718="1 Bedroom",G718,0)</f>
        <v>4</v>
      </c>
      <c r="CV718" s="1354"/>
      <c r="CW718" s="1354"/>
      <c r="CX718" s="1354"/>
      <c r="CY718" s="1354"/>
      <c r="CZ718" s="1354">
        <f t="shared" ref="CZ718:CZ752" si="21">IF(B718="2 Bedrooms",G718,0)</f>
        <v>0</v>
      </c>
      <c r="DA718" s="1354"/>
      <c r="DB718" s="1354"/>
      <c r="DC718" s="1354"/>
      <c r="DD718" s="1354"/>
      <c r="DE718" s="1354">
        <f t="shared" ref="DE718:DE752" si="22">IF(B718="3 Bedrooms",G718,0)</f>
        <v>0</v>
      </c>
      <c r="DF718" s="1354"/>
      <c r="DG718" s="1354"/>
      <c r="DH718" s="1354"/>
      <c r="DI718" s="1354"/>
      <c r="DJ718" s="1354">
        <f t="shared" ref="DJ718:DJ752" si="23">IF(B718="4 Bedrooms",G718,0)</f>
        <v>0</v>
      </c>
      <c r="DK718" s="1354"/>
      <c r="DL718" s="1354"/>
      <c r="DM718" s="1354"/>
      <c r="DN718" s="1354"/>
      <c r="DO718" s="1354">
        <f t="shared" ref="DO718:DO752" si="24">IF(B718="5 Bedrooms",G718,0)</f>
        <v>0</v>
      </c>
      <c r="DP718" s="1354"/>
      <c r="DQ718" s="1354"/>
      <c r="DR718" s="1354"/>
      <c r="DS718" s="1354"/>
      <c r="DT718" s="6"/>
      <c r="DU718" s="1368">
        <f t="shared" ref="DU718:DU752" si="25">IF(AND(B718="SRO/Studio",AC718&lt;=0.3),G718,0)</f>
        <v>0</v>
      </c>
      <c r="DV718" s="1368"/>
      <c r="DW718" s="1368"/>
      <c r="DX718" s="1368"/>
      <c r="DY718" s="1368"/>
      <c r="DZ718" s="1368">
        <f t="shared" ref="DZ718:DZ752" si="26">IF(AND(B718="1 Bedroom",AC718&lt;=0.3),G718,0)</f>
        <v>0</v>
      </c>
      <c r="EA718" s="1368"/>
      <c r="EB718" s="1368"/>
      <c r="EC718" s="1368"/>
      <c r="ED718" s="1368"/>
      <c r="EE718" s="1368">
        <f t="shared" ref="EE718:EE752" si="27">IF(AND(B718="2 Bedrooms",AC718&lt;=0.3),G718,0)</f>
        <v>0</v>
      </c>
      <c r="EF718" s="1368"/>
      <c r="EG718" s="1368"/>
      <c r="EH718" s="1368"/>
      <c r="EI718" s="1368"/>
      <c r="EJ718" s="1368">
        <f t="shared" ref="EJ718:EJ752" si="28">IF(AND(B718="3 Bedrooms",AC718&lt;=0.3),G718,0)</f>
        <v>0</v>
      </c>
      <c r="EK718" s="1368"/>
      <c r="EL718" s="1368"/>
      <c r="EM718" s="1368"/>
      <c r="EN718" s="1368"/>
      <c r="EO718" s="1368">
        <f t="shared" ref="EO718:EO752" si="29">IF(AND(B718="4 Bedrooms",AC718&lt;=0.3),G718,0)</f>
        <v>0</v>
      </c>
      <c r="EP718" s="1368"/>
      <c r="EQ718" s="1368"/>
      <c r="ER718" s="1368"/>
      <c r="ES718" s="1368"/>
      <c r="ET718" s="1368">
        <f t="shared" ref="ET718:ET752" si="30">IF(AND(B718="5 Bedrooms",AC718&lt;=0.3),G718,0)</f>
        <v>0</v>
      </c>
      <c r="EU718" s="1368"/>
      <c r="EV718" s="1368"/>
      <c r="EW718" s="1368"/>
      <c r="EX718" s="1368"/>
      <c r="EY718" s="4"/>
      <c r="EZ718" s="1351" t="str">
        <f t="shared" ref="EZ718:EZ752" si="31">IF(CP718&gt;0,O718,"")</f>
        <v/>
      </c>
      <c r="FA718" s="1352"/>
      <c r="FB718" s="1352"/>
      <c r="FC718" s="1352"/>
      <c r="FD718" s="1353"/>
      <c r="FE718" s="1351">
        <f t="shared" ref="FE718:FE752" si="32">IF(CU718&gt;0,O718,"")</f>
        <v>2453</v>
      </c>
      <c r="FF718" s="1352"/>
      <c r="FG718" s="1352"/>
      <c r="FH718" s="1352"/>
      <c r="FI718" s="1353"/>
      <c r="FJ718" s="1351" t="str">
        <f t="shared" ref="FJ718:FJ752" si="33">IF(CZ718&gt;0,O718,"")</f>
        <v/>
      </c>
      <c r="FK718" s="1352"/>
      <c r="FL718" s="1352"/>
      <c r="FM718" s="1352"/>
      <c r="FN718" s="1353"/>
      <c r="FO718" s="1351" t="str">
        <f t="shared" ref="FO718:FO752" si="34">IF(DE718&gt;0,O718,"")</f>
        <v/>
      </c>
      <c r="FP718" s="1352"/>
      <c r="FQ718" s="1352"/>
      <c r="FR718" s="1352"/>
      <c r="FS718" s="1353"/>
      <c r="FT718" s="1351" t="str">
        <f t="shared" ref="FT718:FT752" si="35">IF(DJ718&gt;0,O718,"")</f>
        <v/>
      </c>
      <c r="FU718" s="1352"/>
      <c r="FV718" s="1352"/>
      <c r="FW718" s="1352"/>
      <c r="FX718" s="1353"/>
      <c r="FY718" s="1351" t="str">
        <f t="shared" ref="FY718:FY752" si="36">IF(DO718&gt;0,O718,"")</f>
        <v/>
      </c>
      <c r="FZ718" s="1352"/>
      <c r="GA718" s="1352"/>
      <c r="GB718" s="1352"/>
      <c r="GC718" s="1353"/>
    </row>
    <row r="719" spans="1:185" ht="12.95" customHeight="1">
      <c r="A719" s="4"/>
      <c r="B719" s="1355" t="s">
        <v>325</v>
      </c>
      <c r="C719" s="1356"/>
      <c r="D719" s="1356"/>
      <c r="E719" s="1356"/>
      <c r="F719" s="1357"/>
      <c r="G719" s="1364">
        <v>15</v>
      </c>
      <c r="H719" s="1365"/>
      <c r="I719" s="1365"/>
      <c r="J719" s="1366"/>
      <c r="K719" s="1604">
        <v>560</v>
      </c>
      <c r="L719" s="1605"/>
      <c r="M719" s="1605"/>
      <c r="N719" s="1606"/>
      <c r="O719" s="1468">
        <v>1727</v>
      </c>
      <c r="P719" s="1469"/>
      <c r="Q719" s="1469"/>
      <c r="R719" s="1469"/>
      <c r="S719" s="1470"/>
      <c r="T719" s="1468">
        <v>86</v>
      </c>
      <c r="U719" s="1469"/>
      <c r="V719" s="1469"/>
      <c r="W719" s="1470"/>
      <c r="X719" s="1358">
        <f t="shared" si="9"/>
        <v>1813</v>
      </c>
      <c r="Y719" s="1359"/>
      <c r="Z719" s="1359"/>
      <c r="AA719" s="1359"/>
      <c r="AB719" s="1360"/>
      <c r="AC719" s="1613">
        <v>0.5</v>
      </c>
      <c r="AD719" s="1614"/>
      <c r="AE719" s="1614"/>
      <c r="AF719" s="1614"/>
      <c r="AG719" s="1615"/>
      <c r="AH719" s="1361">
        <f t="shared" ref="AH719:AH752" si="37">IF($AC719&gt;0,($X719/$AZ719), "")</f>
        <v>0.5</v>
      </c>
      <c r="AI719" s="1362"/>
      <c r="AJ719" s="1363"/>
      <c r="AK719" s="1355" t="s">
        <v>591</v>
      </c>
      <c r="AL719" s="1356"/>
      <c r="AM719" s="1356"/>
      <c r="AN719" s="1356"/>
      <c r="AO719" s="1357"/>
      <c r="AP719" s="3"/>
      <c r="AQ719" s="3"/>
      <c r="AR719" s="3"/>
      <c r="AS719" s="3"/>
      <c r="AZ719" s="118">
        <f t="shared" si="10"/>
        <v>3626</v>
      </c>
      <c r="BA719" s="3"/>
      <c r="BB719" s="3"/>
      <c r="BC719" s="3"/>
      <c r="BD719" s="3"/>
      <c r="BE719" s="204"/>
      <c r="BF719" s="294">
        <f t="shared" si="11"/>
        <v>15</v>
      </c>
      <c r="BG719" s="297">
        <f t="shared" si="12"/>
        <v>0.234375</v>
      </c>
      <c r="BH719" s="298">
        <f t="shared" si="13"/>
        <v>0.1171875</v>
      </c>
      <c r="BI719" s="3"/>
      <c r="BJ719" s="3"/>
      <c r="BK719" s="3"/>
      <c r="BL719" s="3"/>
      <c r="BM719" s="3"/>
      <c r="BN719" s="3"/>
      <c r="BS719" s="294">
        <f t="shared" si="14"/>
        <v>15</v>
      </c>
      <c r="BT719" s="297">
        <f t="shared" si="15"/>
        <v>0.234375</v>
      </c>
      <c r="BU719" s="298">
        <f t="shared" si="16"/>
        <v>0.1171875</v>
      </c>
      <c r="CC719" s="3"/>
      <c r="CD719" s="3"/>
      <c r="CE719" s="3"/>
      <c r="CF719" s="3"/>
      <c r="CG719" s="1351">
        <f t="shared" ref="CG719:CG752" si="38">IF(AND(AC719&lt;=0.5,AC719&gt;=0.36),1,0)</f>
        <v>1</v>
      </c>
      <c r="CH719" s="1353"/>
      <c r="CI719" s="1335">
        <f t="shared" ref="CI719:CI752" si="39">IF(CG719=1,G719,0)</f>
        <v>15</v>
      </c>
      <c r="CJ719" s="1337"/>
      <c r="CK719" s="1351">
        <f t="shared" si="17"/>
        <v>0</v>
      </c>
      <c r="CL719" s="1353"/>
      <c r="CM719" s="1335">
        <f t="shared" si="18"/>
        <v>0</v>
      </c>
      <c r="CN719" s="1337"/>
      <c r="CO719" s="3"/>
      <c r="CP719" s="1332">
        <f t="shared" si="19"/>
        <v>0</v>
      </c>
      <c r="CQ719" s="1333"/>
      <c r="CR719" s="1333"/>
      <c r="CS719" s="1333"/>
      <c r="CT719" s="1334"/>
      <c r="CU719" s="1354">
        <f t="shared" si="20"/>
        <v>15</v>
      </c>
      <c r="CV719" s="1354"/>
      <c r="CW719" s="1354"/>
      <c r="CX719" s="1354"/>
      <c r="CY719" s="1354"/>
      <c r="CZ719" s="1354">
        <f t="shared" si="21"/>
        <v>0</v>
      </c>
      <c r="DA719" s="1354"/>
      <c r="DB719" s="1354"/>
      <c r="DC719" s="1354"/>
      <c r="DD719" s="1354"/>
      <c r="DE719" s="1354">
        <f t="shared" si="22"/>
        <v>0</v>
      </c>
      <c r="DF719" s="1354"/>
      <c r="DG719" s="1354"/>
      <c r="DH719" s="1354"/>
      <c r="DI719" s="1354"/>
      <c r="DJ719" s="1354">
        <f t="shared" si="23"/>
        <v>0</v>
      </c>
      <c r="DK719" s="1354"/>
      <c r="DL719" s="1354"/>
      <c r="DM719" s="1354"/>
      <c r="DN719" s="1354"/>
      <c r="DO719" s="1354">
        <f t="shared" si="24"/>
        <v>0</v>
      </c>
      <c r="DP719" s="1354"/>
      <c r="DQ719" s="1354"/>
      <c r="DR719" s="1354"/>
      <c r="DS719" s="1354"/>
      <c r="DT719" s="6"/>
      <c r="DU719" s="1368">
        <f t="shared" si="25"/>
        <v>0</v>
      </c>
      <c r="DV719" s="1368"/>
      <c r="DW719" s="1368"/>
      <c r="DX719" s="1368"/>
      <c r="DY719" s="1368"/>
      <c r="DZ719" s="1368">
        <f t="shared" si="26"/>
        <v>0</v>
      </c>
      <c r="EA719" s="1368"/>
      <c r="EB719" s="1368"/>
      <c r="EC719" s="1368"/>
      <c r="ED719" s="1368"/>
      <c r="EE719" s="1368">
        <f t="shared" si="27"/>
        <v>0</v>
      </c>
      <c r="EF719" s="1368"/>
      <c r="EG719" s="1368"/>
      <c r="EH719" s="1368"/>
      <c r="EI719" s="1368"/>
      <c r="EJ719" s="1368">
        <f t="shared" si="28"/>
        <v>0</v>
      </c>
      <c r="EK719" s="1368"/>
      <c r="EL719" s="1368"/>
      <c r="EM719" s="1368"/>
      <c r="EN719" s="1368"/>
      <c r="EO719" s="1368">
        <f t="shared" si="29"/>
        <v>0</v>
      </c>
      <c r="EP719" s="1368"/>
      <c r="EQ719" s="1368"/>
      <c r="ER719" s="1368"/>
      <c r="ES719" s="1368"/>
      <c r="ET719" s="1368">
        <f t="shared" si="30"/>
        <v>0</v>
      </c>
      <c r="EU719" s="1368"/>
      <c r="EV719" s="1368"/>
      <c r="EW719" s="1368"/>
      <c r="EX719" s="1368"/>
      <c r="EY719" s="4"/>
      <c r="EZ719" s="1351" t="str">
        <f t="shared" si="31"/>
        <v/>
      </c>
      <c r="FA719" s="1352"/>
      <c r="FB719" s="1352"/>
      <c r="FC719" s="1352"/>
      <c r="FD719" s="1353"/>
      <c r="FE719" s="1351">
        <f t="shared" si="32"/>
        <v>1727</v>
      </c>
      <c r="FF719" s="1352"/>
      <c r="FG719" s="1352"/>
      <c r="FH719" s="1352"/>
      <c r="FI719" s="1353"/>
      <c r="FJ719" s="1351" t="str">
        <f t="shared" si="33"/>
        <v/>
      </c>
      <c r="FK719" s="1352"/>
      <c r="FL719" s="1352"/>
      <c r="FM719" s="1352"/>
      <c r="FN719" s="1353"/>
      <c r="FO719" s="1351" t="str">
        <f t="shared" si="34"/>
        <v/>
      </c>
      <c r="FP719" s="1352"/>
      <c r="FQ719" s="1352"/>
      <c r="FR719" s="1352"/>
      <c r="FS719" s="1353"/>
      <c r="FT719" s="1351" t="str">
        <f t="shared" si="35"/>
        <v/>
      </c>
      <c r="FU719" s="1352"/>
      <c r="FV719" s="1352"/>
      <c r="FW719" s="1352"/>
      <c r="FX719" s="1353"/>
      <c r="FY719" s="1351" t="str">
        <f t="shared" si="36"/>
        <v/>
      </c>
      <c r="FZ719" s="1352"/>
      <c r="GA719" s="1352"/>
      <c r="GB719" s="1352"/>
      <c r="GC719" s="1353"/>
    </row>
    <row r="720" spans="1:185" ht="12.95" customHeight="1">
      <c r="A720" s="4"/>
      <c r="B720" s="1355" t="s">
        <v>325</v>
      </c>
      <c r="C720" s="1356"/>
      <c r="D720" s="1356"/>
      <c r="E720" s="1356"/>
      <c r="F720" s="1357"/>
      <c r="G720" s="1364">
        <v>11</v>
      </c>
      <c r="H720" s="1365"/>
      <c r="I720" s="1365"/>
      <c r="J720" s="1366"/>
      <c r="K720" s="1604">
        <v>560</v>
      </c>
      <c r="L720" s="1605"/>
      <c r="M720" s="1605"/>
      <c r="N720" s="1606"/>
      <c r="O720" s="1468">
        <v>276.60000000000002</v>
      </c>
      <c r="P720" s="1469"/>
      <c r="Q720" s="1469"/>
      <c r="R720" s="1469"/>
      <c r="S720" s="1470"/>
      <c r="T720" s="1468">
        <v>86</v>
      </c>
      <c r="U720" s="1469"/>
      <c r="V720" s="1469"/>
      <c r="W720" s="1470"/>
      <c r="X720" s="1358">
        <f t="shared" si="9"/>
        <v>362.6</v>
      </c>
      <c r="Y720" s="1359"/>
      <c r="Z720" s="1359"/>
      <c r="AA720" s="1359"/>
      <c r="AB720" s="1360"/>
      <c r="AC720" s="1613">
        <v>0.3</v>
      </c>
      <c r="AD720" s="1614"/>
      <c r="AE720" s="1614"/>
      <c r="AF720" s="1614"/>
      <c r="AG720" s="1615"/>
      <c r="AH720" s="1361">
        <f t="shared" si="37"/>
        <v>0.1</v>
      </c>
      <c r="AI720" s="1362"/>
      <c r="AJ720" s="1363"/>
      <c r="AK720" s="1355" t="s">
        <v>2099</v>
      </c>
      <c r="AL720" s="1356"/>
      <c r="AM720" s="1356"/>
      <c r="AN720" s="1356"/>
      <c r="AO720" s="1357"/>
      <c r="AP720" s="3"/>
      <c r="AQ720" s="3"/>
      <c r="AR720" s="3"/>
      <c r="AS720" s="3"/>
      <c r="AZ720" s="118">
        <f t="shared" si="10"/>
        <v>3626</v>
      </c>
      <c r="BA720" s="3"/>
      <c r="BB720" s="3"/>
      <c r="BC720" s="3"/>
      <c r="BD720" s="3"/>
      <c r="BE720" s="204"/>
      <c r="BF720" s="294">
        <f t="shared" si="11"/>
        <v>11</v>
      </c>
      <c r="BG720" s="297">
        <f t="shared" si="12"/>
        <v>0.171875</v>
      </c>
      <c r="BH720" s="298">
        <f t="shared" si="13"/>
        <v>5.1562499999999997E-2</v>
      </c>
      <c r="BI720" s="3"/>
      <c r="BJ720" s="3"/>
      <c r="BK720" s="3"/>
      <c r="BL720" s="3"/>
      <c r="BM720" s="3"/>
      <c r="BN720" s="3"/>
      <c r="BS720" s="294">
        <f t="shared" si="14"/>
        <v>11</v>
      </c>
      <c r="BT720" s="297">
        <f t="shared" si="15"/>
        <v>0.171875</v>
      </c>
      <c r="BU720" s="298">
        <f t="shared" si="16"/>
        <v>1.7187500000000001E-2</v>
      </c>
      <c r="CC720" s="3"/>
      <c r="CD720" s="3"/>
      <c r="CE720" s="3"/>
      <c r="CF720" s="3"/>
      <c r="CG720" s="1351">
        <f t="shared" si="38"/>
        <v>0</v>
      </c>
      <c r="CH720" s="1353"/>
      <c r="CI720" s="1335">
        <f t="shared" si="39"/>
        <v>0</v>
      </c>
      <c r="CJ720" s="1337"/>
      <c r="CK720" s="1351">
        <f t="shared" si="17"/>
        <v>1</v>
      </c>
      <c r="CL720" s="1353"/>
      <c r="CM720" s="1335">
        <f t="shared" si="18"/>
        <v>11</v>
      </c>
      <c r="CN720" s="1337"/>
      <c r="CO720" s="3"/>
      <c r="CP720" s="1332">
        <f t="shared" si="19"/>
        <v>0</v>
      </c>
      <c r="CQ720" s="1333"/>
      <c r="CR720" s="1333"/>
      <c r="CS720" s="1333"/>
      <c r="CT720" s="1334"/>
      <c r="CU720" s="1354">
        <f t="shared" si="20"/>
        <v>11</v>
      </c>
      <c r="CV720" s="1354"/>
      <c r="CW720" s="1354"/>
      <c r="CX720" s="1354"/>
      <c r="CY720" s="1354"/>
      <c r="CZ720" s="1354">
        <f t="shared" si="21"/>
        <v>0</v>
      </c>
      <c r="DA720" s="1354"/>
      <c r="DB720" s="1354"/>
      <c r="DC720" s="1354"/>
      <c r="DD720" s="1354"/>
      <c r="DE720" s="1354">
        <f t="shared" si="22"/>
        <v>0</v>
      </c>
      <c r="DF720" s="1354"/>
      <c r="DG720" s="1354"/>
      <c r="DH720" s="1354"/>
      <c r="DI720" s="1354"/>
      <c r="DJ720" s="1354">
        <f t="shared" si="23"/>
        <v>0</v>
      </c>
      <c r="DK720" s="1354"/>
      <c r="DL720" s="1354"/>
      <c r="DM720" s="1354"/>
      <c r="DN720" s="1354"/>
      <c r="DO720" s="1354">
        <f t="shared" si="24"/>
        <v>0</v>
      </c>
      <c r="DP720" s="1354"/>
      <c r="DQ720" s="1354"/>
      <c r="DR720" s="1354"/>
      <c r="DS720" s="1354"/>
      <c r="DT720" s="6"/>
      <c r="DU720" s="1368">
        <f t="shared" si="25"/>
        <v>0</v>
      </c>
      <c r="DV720" s="1368"/>
      <c r="DW720" s="1368"/>
      <c r="DX720" s="1368"/>
      <c r="DY720" s="1368"/>
      <c r="DZ720" s="1368">
        <f t="shared" si="26"/>
        <v>11</v>
      </c>
      <c r="EA720" s="1368"/>
      <c r="EB720" s="1368"/>
      <c r="EC720" s="1368"/>
      <c r="ED720" s="1368"/>
      <c r="EE720" s="1368">
        <f t="shared" si="27"/>
        <v>0</v>
      </c>
      <c r="EF720" s="1368"/>
      <c r="EG720" s="1368"/>
      <c r="EH720" s="1368"/>
      <c r="EI720" s="1368"/>
      <c r="EJ720" s="1368">
        <f t="shared" si="28"/>
        <v>0</v>
      </c>
      <c r="EK720" s="1368"/>
      <c r="EL720" s="1368"/>
      <c r="EM720" s="1368"/>
      <c r="EN720" s="1368"/>
      <c r="EO720" s="1368">
        <f t="shared" si="29"/>
        <v>0</v>
      </c>
      <c r="EP720" s="1368"/>
      <c r="EQ720" s="1368"/>
      <c r="ER720" s="1368"/>
      <c r="ES720" s="1368"/>
      <c r="ET720" s="1368">
        <f t="shared" si="30"/>
        <v>0</v>
      </c>
      <c r="EU720" s="1368"/>
      <c r="EV720" s="1368"/>
      <c r="EW720" s="1368"/>
      <c r="EX720" s="1368"/>
      <c r="EZ720" s="1351" t="str">
        <f t="shared" si="31"/>
        <v/>
      </c>
      <c r="FA720" s="1352"/>
      <c r="FB720" s="1352"/>
      <c r="FC720" s="1352"/>
      <c r="FD720" s="1353"/>
      <c r="FE720" s="1351">
        <f t="shared" si="32"/>
        <v>276.60000000000002</v>
      </c>
      <c r="FF720" s="1352"/>
      <c r="FG720" s="1352"/>
      <c r="FH720" s="1352"/>
      <c r="FI720" s="1353"/>
      <c r="FJ720" s="1351" t="str">
        <f t="shared" si="33"/>
        <v/>
      </c>
      <c r="FK720" s="1352"/>
      <c r="FL720" s="1352"/>
      <c r="FM720" s="1352"/>
      <c r="FN720" s="1353"/>
      <c r="FO720" s="1351" t="str">
        <f t="shared" si="34"/>
        <v/>
      </c>
      <c r="FP720" s="1352"/>
      <c r="FQ720" s="1352"/>
      <c r="FR720" s="1352"/>
      <c r="FS720" s="1353"/>
      <c r="FT720" s="1351" t="str">
        <f t="shared" si="35"/>
        <v/>
      </c>
      <c r="FU720" s="1352"/>
      <c r="FV720" s="1352"/>
      <c r="FW720" s="1352"/>
      <c r="FX720" s="1353"/>
      <c r="FY720" s="1351" t="str">
        <f t="shared" si="36"/>
        <v/>
      </c>
      <c r="FZ720" s="1352"/>
      <c r="GA720" s="1352"/>
      <c r="GB720" s="1352"/>
      <c r="GC720" s="1353"/>
    </row>
    <row r="721" spans="1:185" ht="12.95" customHeight="1">
      <c r="B721" s="1355" t="s">
        <v>163</v>
      </c>
      <c r="C721" s="1356"/>
      <c r="D721" s="1356"/>
      <c r="E721" s="1356"/>
      <c r="F721" s="1357"/>
      <c r="G721" s="1364">
        <v>4</v>
      </c>
      <c r="H721" s="1365"/>
      <c r="I721" s="1365"/>
      <c r="J721" s="1366"/>
      <c r="K721" s="1604">
        <v>701</v>
      </c>
      <c r="L721" s="1605"/>
      <c r="M721" s="1605"/>
      <c r="N721" s="1606"/>
      <c r="O721" s="1468">
        <v>2927.4</v>
      </c>
      <c r="P721" s="1469"/>
      <c r="Q721" s="1469"/>
      <c r="R721" s="1469"/>
      <c r="S721" s="1470"/>
      <c r="T721" s="1468">
        <v>119</v>
      </c>
      <c r="U721" s="1469"/>
      <c r="V721" s="1469"/>
      <c r="W721" s="1470"/>
      <c r="X721" s="1358">
        <f t="shared" si="9"/>
        <v>3046.4</v>
      </c>
      <c r="Y721" s="1359"/>
      <c r="Z721" s="1359"/>
      <c r="AA721" s="1359"/>
      <c r="AB721" s="1360"/>
      <c r="AC721" s="1613">
        <v>0.7</v>
      </c>
      <c r="AD721" s="1614"/>
      <c r="AE721" s="1614"/>
      <c r="AF721" s="1614"/>
      <c r="AG721" s="1615"/>
      <c r="AH721" s="1361">
        <f t="shared" si="37"/>
        <v>0.70000000000000007</v>
      </c>
      <c r="AI721" s="1362"/>
      <c r="AJ721" s="1363"/>
      <c r="AK721" s="1355" t="s">
        <v>591</v>
      </c>
      <c r="AL721" s="1356"/>
      <c r="AM721" s="1356"/>
      <c r="AN721" s="1356"/>
      <c r="AO721" s="1357"/>
      <c r="AP721" s="3"/>
      <c r="AQ721" s="3"/>
      <c r="AR721" s="3"/>
      <c r="AS721" s="3"/>
      <c r="AY721" s="116"/>
      <c r="AZ721" s="118">
        <f t="shared" si="10"/>
        <v>4352</v>
      </c>
      <c r="BA721" s="3"/>
      <c r="BB721" s="3"/>
      <c r="BC721" s="3"/>
      <c r="BD721" s="3"/>
      <c r="BE721" s="204"/>
      <c r="BF721" s="294">
        <f t="shared" si="11"/>
        <v>4</v>
      </c>
      <c r="BG721" s="297">
        <f t="shared" si="12"/>
        <v>6.25E-2</v>
      </c>
      <c r="BH721" s="298">
        <f t="shared" si="13"/>
        <v>4.3749999999999997E-2</v>
      </c>
      <c r="BI721" s="3"/>
      <c r="BJ721" s="3"/>
      <c r="BK721" s="3"/>
      <c r="BL721" s="3"/>
      <c r="BM721" s="3"/>
      <c r="BN721" s="3"/>
      <c r="BS721" s="294">
        <f t="shared" si="14"/>
        <v>4</v>
      </c>
      <c r="BT721" s="297">
        <f t="shared" si="15"/>
        <v>6.25E-2</v>
      </c>
      <c r="BU721" s="298">
        <f t="shared" si="16"/>
        <v>4.3750000000000004E-2</v>
      </c>
      <c r="CC721" s="3"/>
      <c r="CD721" s="3"/>
      <c r="CE721" s="3"/>
      <c r="CF721" s="3"/>
      <c r="CG721" s="1351">
        <f t="shared" si="38"/>
        <v>0</v>
      </c>
      <c r="CH721" s="1353"/>
      <c r="CI721" s="1335">
        <f t="shared" si="39"/>
        <v>0</v>
      </c>
      <c r="CJ721" s="1337"/>
      <c r="CK721" s="1351">
        <f t="shared" si="17"/>
        <v>0</v>
      </c>
      <c r="CL721" s="1353"/>
      <c r="CM721" s="1335">
        <f t="shared" si="18"/>
        <v>0</v>
      </c>
      <c r="CN721" s="1337"/>
      <c r="CO721" s="3"/>
      <c r="CP721" s="1332">
        <f t="shared" si="19"/>
        <v>0</v>
      </c>
      <c r="CQ721" s="1333"/>
      <c r="CR721" s="1333"/>
      <c r="CS721" s="1333"/>
      <c r="CT721" s="1334"/>
      <c r="CU721" s="1354">
        <f t="shared" si="20"/>
        <v>0</v>
      </c>
      <c r="CV721" s="1354"/>
      <c r="CW721" s="1354"/>
      <c r="CX721" s="1354"/>
      <c r="CY721" s="1354"/>
      <c r="CZ721" s="1354">
        <f t="shared" si="21"/>
        <v>4</v>
      </c>
      <c r="DA721" s="1354"/>
      <c r="DB721" s="1354"/>
      <c r="DC721" s="1354"/>
      <c r="DD721" s="1354"/>
      <c r="DE721" s="1354">
        <f t="shared" si="22"/>
        <v>0</v>
      </c>
      <c r="DF721" s="1354"/>
      <c r="DG721" s="1354"/>
      <c r="DH721" s="1354"/>
      <c r="DI721" s="1354"/>
      <c r="DJ721" s="1354">
        <f t="shared" si="23"/>
        <v>0</v>
      </c>
      <c r="DK721" s="1354"/>
      <c r="DL721" s="1354"/>
      <c r="DM721" s="1354"/>
      <c r="DN721" s="1354"/>
      <c r="DO721" s="1354">
        <f t="shared" si="24"/>
        <v>0</v>
      </c>
      <c r="DP721" s="1354"/>
      <c r="DQ721" s="1354"/>
      <c r="DR721" s="1354"/>
      <c r="DS721" s="1354"/>
      <c r="DT721" s="6"/>
      <c r="DU721" s="1368">
        <f t="shared" si="25"/>
        <v>0</v>
      </c>
      <c r="DV721" s="1368"/>
      <c r="DW721" s="1368"/>
      <c r="DX721" s="1368"/>
      <c r="DY721" s="1368"/>
      <c r="DZ721" s="1368">
        <f t="shared" si="26"/>
        <v>0</v>
      </c>
      <c r="EA721" s="1368"/>
      <c r="EB721" s="1368"/>
      <c r="EC721" s="1368"/>
      <c r="ED721" s="1368"/>
      <c r="EE721" s="1368">
        <f t="shared" si="27"/>
        <v>0</v>
      </c>
      <c r="EF721" s="1368"/>
      <c r="EG721" s="1368"/>
      <c r="EH721" s="1368"/>
      <c r="EI721" s="1368"/>
      <c r="EJ721" s="1368">
        <f t="shared" si="28"/>
        <v>0</v>
      </c>
      <c r="EK721" s="1368"/>
      <c r="EL721" s="1368"/>
      <c r="EM721" s="1368"/>
      <c r="EN721" s="1368"/>
      <c r="EO721" s="1368">
        <f t="shared" si="29"/>
        <v>0</v>
      </c>
      <c r="EP721" s="1368"/>
      <c r="EQ721" s="1368"/>
      <c r="ER721" s="1368"/>
      <c r="ES721" s="1368"/>
      <c r="ET721" s="1368">
        <f t="shared" si="30"/>
        <v>0</v>
      </c>
      <c r="EU721" s="1368"/>
      <c r="EV721" s="1368"/>
      <c r="EW721" s="1368"/>
      <c r="EX721" s="1368"/>
      <c r="EZ721" s="1351" t="str">
        <f t="shared" si="31"/>
        <v/>
      </c>
      <c r="FA721" s="1352"/>
      <c r="FB721" s="1352"/>
      <c r="FC721" s="1352"/>
      <c r="FD721" s="1353"/>
      <c r="FE721" s="1351" t="str">
        <f t="shared" si="32"/>
        <v/>
      </c>
      <c r="FF721" s="1352"/>
      <c r="FG721" s="1352"/>
      <c r="FH721" s="1352"/>
      <c r="FI721" s="1353"/>
      <c r="FJ721" s="1351">
        <f t="shared" si="33"/>
        <v>2927.4</v>
      </c>
      <c r="FK721" s="1352"/>
      <c r="FL721" s="1352"/>
      <c r="FM721" s="1352"/>
      <c r="FN721" s="1353"/>
      <c r="FO721" s="1351" t="str">
        <f t="shared" si="34"/>
        <v/>
      </c>
      <c r="FP721" s="1352"/>
      <c r="FQ721" s="1352"/>
      <c r="FR721" s="1352"/>
      <c r="FS721" s="1353"/>
      <c r="FT721" s="1351" t="str">
        <f t="shared" si="35"/>
        <v/>
      </c>
      <c r="FU721" s="1352"/>
      <c r="FV721" s="1352"/>
      <c r="FW721" s="1352"/>
      <c r="FX721" s="1353"/>
      <c r="FY721" s="1351" t="str">
        <f t="shared" si="36"/>
        <v/>
      </c>
      <c r="FZ721" s="1352"/>
      <c r="GA721" s="1352"/>
      <c r="GB721" s="1352"/>
      <c r="GC721" s="1353"/>
    </row>
    <row r="722" spans="1:185" ht="12.95" customHeight="1">
      <c r="B722" s="1355" t="s">
        <v>163</v>
      </c>
      <c r="C722" s="1356"/>
      <c r="D722" s="1356"/>
      <c r="E722" s="1356"/>
      <c r="F722" s="1357"/>
      <c r="G722" s="1364">
        <v>11</v>
      </c>
      <c r="H722" s="1365"/>
      <c r="I722" s="1365"/>
      <c r="J722" s="1366"/>
      <c r="K722" s="1604">
        <v>701</v>
      </c>
      <c r="L722" s="1605"/>
      <c r="M722" s="1605"/>
      <c r="N722" s="1606"/>
      <c r="O722" s="1468">
        <v>2057</v>
      </c>
      <c r="P722" s="1469"/>
      <c r="Q722" s="1469"/>
      <c r="R722" s="1469"/>
      <c r="S722" s="1470"/>
      <c r="T722" s="1468">
        <v>119</v>
      </c>
      <c r="U722" s="1469"/>
      <c r="V722" s="1469"/>
      <c r="W722" s="1470"/>
      <c r="X722" s="1358">
        <f t="shared" si="9"/>
        <v>2176</v>
      </c>
      <c r="Y722" s="1359"/>
      <c r="Z722" s="1359"/>
      <c r="AA722" s="1359"/>
      <c r="AB722" s="1360"/>
      <c r="AC722" s="1613">
        <v>0.5</v>
      </c>
      <c r="AD722" s="1614"/>
      <c r="AE722" s="1614"/>
      <c r="AF722" s="1614"/>
      <c r="AG722" s="1615"/>
      <c r="AH722" s="1361">
        <f t="shared" si="37"/>
        <v>0.5</v>
      </c>
      <c r="AI722" s="1362"/>
      <c r="AJ722" s="1363"/>
      <c r="AK722" s="1355" t="s">
        <v>591</v>
      </c>
      <c r="AL722" s="1356"/>
      <c r="AM722" s="1356"/>
      <c r="AN722" s="1356"/>
      <c r="AO722" s="1357"/>
      <c r="AP722" s="3"/>
      <c r="AQ722" s="3"/>
      <c r="AR722" s="3"/>
      <c r="AS722" s="3"/>
      <c r="AY722" s="116"/>
      <c r="AZ722" s="118">
        <f t="shared" si="10"/>
        <v>4352</v>
      </c>
      <c r="BA722" s="3"/>
      <c r="BB722" s="3"/>
      <c r="BC722" s="3"/>
      <c r="BD722" s="3"/>
      <c r="BE722" s="204"/>
      <c r="BF722" s="294">
        <f t="shared" si="11"/>
        <v>11</v>
      </c>
      <c r="BG722" s="297">
        <f t="shared" si="12"/>
        <v>0.171875</v>
      </c>
      <c r="BH722" s="298">
        <f t="shared" si="13"/>
        <v>8.59375E-2</v>
      </c>
      <c r="BI722" s="3"/>
      <c r="BJ722" s="3"/>
      <c r="BK722" s="3"/>
      <c r="BL722" s="3"/>
      <c r="BM722" s="3"/>
      <c r="BN722" s="3"/>
      <c r="BS722" s="294">
        <f t="shared" si="14"/>
        <v>11</v>
      </c>
      <c r="BT722" s="297">
        <f t="shared" si="15"/>
        <v>0.171875</v>
      </c>
      <c r="BU722" s="298">
        <f t="shared" si="16"/>
        <v>8.59375E-2</v>
      </c>
      <c r="CC722" s="3"/>
      <c r="CD722" s="3"/>
      <c r="CE722" s="3"/>
      <c r="CF722" s="3"/>
      <c r="CG722" s="1351">
        <f t="shared" si="38"/>
        <v>1</v>
      </c>
      <c r="CH722" s="1353"/>
      <c r="CI722" s="1335">
        <f t="shared" si="39"/>
        <v>11</v>
      </c>
      <c r="CJ722" s="1337"/>
      <c r="CK722" s="1351">
        <f t="shared" si="17"/>
        <v>0</v>
      </c>
      <c r="CL722" s="1353"/>
      <c r="CM722" s="1335">
        <f t="shared" si="18"/>
        <v>0</v>
      </c>
      <c r="CN722" s="1337"/>
      <c r="CO722" s="3"/>
      <c r="CP722" s="1332">
        <f t="shared" si="19"/>
        <v>0</v>
      </c>
      <c r="CQ722" s="1333"/>
      <c r="CR722" s="1333"/>
      <c r="CS722" s="1333"/>
      <c r="CT722" s="1334"/>
      <c r="CU722" s="1354">
        <f t="shared" si="20"/>
        <v>0</v>
      </c>
      <c r="CV722" s="1354"/>
      <c r="CW722" s="1354"/>
      <c r="CX722" s="1354"/>
      <c r="CY722" s="1354"/>
      <c r="CZ722" s="1354">
        <f t="shared" si="21"/>
        <v>11</v>
      </c>
      <c r="DA722" s="1354"/>
      <c r="DB722" s="1354"/>
      <c r="DC722" s="1354"/>
      <c r="DD722" s="1354"/>
      <c r="DE722" s="1354">
        <f t="shared" si="22"/>
        <v>0</v>
      </c>
      <c r="DF722" s="1354"/>
      <c r="DG722" s="1354"/>
      <c r="DH722" s="1354"/>
      <c r="DI722" s="1354"/>
      <c r="DJ722" s="1354">
        <f t="shared" si="23"/>
        <v>0</v>
      </c>
      <c r="DK722" s="1354"/>
      <c r="DL722" s="1354"/>
      <c r="DM722" s="1354"/>
      <c r="DN722" s="1354"/>
      <c r="DO722" s="1354">
        <f t="shared" si="24"/>
        <v>0</v>
      </c>
      <c r="DP722" s="1354"/>
      <c r="DQ722" s="1354"/>
      <c r="DR722" s="1354"/>
      <c r="DS722" s="1354"/>
      <c r="DT722" s="6"/>
      <c r="DU722" s="1368">
        <f t="shared" si="25"/>
        <v>0</v>
      </c>
      <c r="DV722" s="1368"/>
      <c r="DW722" s="1368"/>
      <c r="DX722" s="1368"/>
      <c r="DY722" s="1368"/>
      <c r="DZ722" s="1368">
        <f t="shared" si="26"/>
        <v>0</v>
      </c>
      <c r="EA722" s="1368"/>
      <c r="EB722" s="1368"/>
      <c r="EC722" s="1368"/>
      <c r="ED722" s="1368"/>
      <c r="EE722" s="1368">
        <f t="shared" si="27"/>
        <v>0</v>
      </c>
      <c r="EF722" s="1368"/>
      <c r="EG722" s="1368"/>
      <c r="EH722" s="1368"/>
      <c r="EI722" s="1368"/>
      <c r="EJ722" s="1368">
        <f t="shared" si="28"/>
        <v>0</v>
      </c>
      <c r="EK722" s="1368"/>
      <c r="EL722" s="1368"/>
      <c r="EM722" s="1368"/>
      <c r="EN722" s="1368"/>
      <c r="EO722" s="1368">
        <f t="shared" si="29"/>
        <v>0</v>
      </c>
      <c r="EP722" s="1368"/>
      <c r="EQ722" s="1368"/>
      <c r="ER722" s="1368"/>
      <c r="ES722" s="1368"/>
      <c r="ET722" s="1368">
        <f t="shared" si="30"/>
        <v>0</v>
      </c>
      <c r="EU722" s="1368"/>
      <c r="EV722" s="1368"/>
      <c r="EW722" s="1368"/>
      <c r="EX722" s="1368"/>
      <c r="EZ722" s="1351" t="str">
        <f t="shared" si="31"/>
        <v/>
      </c>
      <c r="FA722" s="1352"/>
      <c r="FB722" s="1352"/>
      <c r="FC722" s="1352"/>
      <c r="FD722" s="1353"/>
      <c r="FE722" s="1351" t="str">
        <f t="shared" si="32"/>
        <v/>
      </c>
      <c r="FF722" s="1352"/>
      <c r="FG722" s="1352"/>
      <c r="FH722" s="1352"/>
      <c r="FI722" s="1353"/>
      <c r="FJ722" s="1351">
        <f t="shared" si="33"/>
        <v>2057</v>
      </c>
      <c r="FK722" s="1352"/>
      <c r="FL722" s="1352"/>
      <c r="FM722" s="1352"/>
      <c r="FN722" s="1353"/>
      <c r="FO722" s="1351" t="str">
        <f t="shared" si="34"/>
        <v/>
      </c>
      <c r="FP722" s="1352"/>
      <c r="FQ722" s="1352"/>
      <c r="FR722" s="1352"/>
      <c r="FS722" s="1353"/>
      <c r="FT722" s="1351" t="str">
        <f t="shared" si="35"/>
        <v/>
      </c>
      <c r="FU722" s="1352"/>
      <c r="FV722" s="1352"/>
      <c r="FW722" s="1352"/>
      <c r="FX722" s="1353"/>
      <c r="FY722" s="1351" t="str">
        <f t="shared" si="36"/>
        <v/>
      </c>
      <c r="FZ722" s="1352"/>
      <c r="GA722" s="1352"/>
      <c r="GB722" s="1352"/>
      <c r="GC722" s="1353"/>
    </row>
    <row r="723" spans="1:185" ht="12.95" customHeight="1">
      <c r="B723" s="1355" t="s">
        <v>163</v>
      </c>
      <c r="C723" s="1356"/>
      <c r="D723" s="1356"/>
      <c r="E723" s="1356"/>
      <c r="F723" s="1357"/>
      <c r="G723" s="1364">
        <v>3</v>
      </c>
      <c r="H723" s="1365"/>
      <c r="I723" s="1365"/>
      <c r="J723" s="1366"/>
      <c r="K723" s="1604">
        <v>701</v>
      </c>
      <c r="L723" s="1605"/>
      <c r="M723" s="1605"/>
      <c r="N723" s="1606"/>
      <c r="O723" s="1468">
        <v>158.1</v>
      </c>
      <c r="P723" s="1469"/>
      <c r="Q723" s="1469"/>
      <c r="R723" s="1469"/>
      <c r="S723" s="1470"/>
      <c r="T723" s="1468">
        <v>119</v>
      </c>
      <c r="U723" s="1469"/>
      <c r="V723" s="1469"/>
      <c r="W723" s="1470"/>
      <c r="X723" s="1358">
        <f t="shared" si="9"/>
        <v>277.10000000000002</v>
      </c>
      <c r="Y723" s="1359"/>
      <c r="Z723" s="1359"/>
      <c r="AA723" s="1359"/>
      <c r="AB723" s="1360"/>
      <c r="AC723" s="1613">
        <v>0.3</v>
      </c>
      <c r="AD723" s="1614"/>
      <c r="AE723" s="1614"/>
      <c r="AF723" s="1614"/>
      <c r="AG723" s="1615"/>
      <c r="AH723" s="1361">
        <f t="shared" si="37"/>
        <v>6.3671875000000003E-2</v>
      </c>
      <c r="AI723" s="1362"/>
      <c r="AJ723" s="1363"/>
      <c r="AK723" s="1355" t="s">
        <v>2099</v>
      </c>
      <c r="AL723" s="1356"/>
      <c r="AM723" s="1356"/>
      <c r="AN723" s="1356"/>
      <c r="AO723" s="1357"/>
      <c r="AP723" s="3"/>
      <c r="AQ723" s="3"/>
      <c r="AR723" s="3"/>
      <c r="AS723" s="3"/>
      <c r="AY723" s="116"/>
      <c r="AZ723" s="118">
        <f t="shared" si="10"/>
        <v>4352</v>
      </c>
      <c r="BA723" s="3"/>
      <c r="BB723" s="3"/>
      <c r="BC723" s="3"/>
      <c r="BD723" s="3"/>
      <c r="BE723" s="204"/>
      <c r="BF723" s="294">
        <f t="shared" si="11"/>
        <v>3</v>
      </c>
      <c r="BG723" s="297">
        <f t="shared" si="12"/>
        <v>4.6875E-2</v>
      </c>
      <c r="BH723" s="298">
        <f t="shared" si="13"/>
        <v>1.4062499999999999E-2</v>
      </c>
      <c r="BI723" s="3"/>
      <c r="BJ723" s="3"/>
      <c r="BK723" s="3"/>
      <c r="BL723" s="3"/>
      <c r="BM723" s="3"/>
      <c r="BN723" s="3"/>
      <c r="BS723" s="294">
        <f t="shared" si="14"/>
        <v>3</v>
      </c>
      <c r="BT723" s="297">
        <f t="shared" si="15"/>
        <v>4.6875E-2</v>
      </c>
      <c r="BU723" s="298">
        <f t="shared" si="16"/>
        <v>2.9846191406250003E-3</v>
      </c>
      <c r="CC723" s="3"/>
      <c r="CD723" s="3"/>
      <c r="CE723" s="3"/>
      <c r="CF723" s="3"/>
      <c r="CG723" s="1351">
        <f t="shared" si="38"/>
        <v>0</v>
      </c>
      <c r="CH723" s="1353"/>
      <c r="CI723" s="1335">
        <f t="shared" si="39"/>
        <v>0</v>
      </c>
      <c r="CJ723" s="1337"/>
      <c r="CK723" s="1351">
        <f t="shared" si="17"/>
        <v>1</v>
      </c>
      <c r="CL723" s="1353"/>
      <c r="CM723" s="1335">
        <f t="shared" si="18"/>
        <v>3</v>
      </c>
      <c r="CN723" s="1337"/>
      <c r="CO723" s="3"/>
      <c r="CP723" s="1332">
        <f t="shared" si="19"/>
        <v>0</v>
      </c>
      <c r="CQ723" s="1333"/>
      <c r="CR723" s="1333"/>
      <c r="CS723" s="1333"/>
      <c r="CT723" s="1334"/>
      <c r="CU723" s="1354">
        <f t="shared" si="20"/>
        <v>0</v>
      </c>
      <c r="CV723" s="1354"/>
      <c r="CW723" s="1354"/>
      <c r="CX723" s="1354"/>
      <c r="CY723" s="1354"/>
      <c r="CZ723" s="1354">
        <f t="shared" si="21"/>
        <v>3</v>
      </c>
      <c r="DA723" s="1354"/>
      <c r="DB723" s="1354"/>
      <c r="DC723" s="1354"/>
      <c r="DD723" s="1354"/>
      <c r="DE723" s="1354">
        <f t="shared" si="22"/>
        <v>0</v>
      </c>
      <c r="DF723" s="1354"/>
      <c r="DG723" s="1354"/>
      <c r="DH723" s="1354"/>
      <c r="DI723" s="1354"/>
      <c r="DJ723" s="1354">
        <f t="shared" si="23"/>
        <v>0</v>
      </c>
      <c r="DK723" s="1354"/>
      <c r="DL723" s="1354"/>
      <c r="DM723" s="1354"/>
      <c r="DN723" s="1354"/>
      <c r="DO723" s="1354">
        <f t="shared" si="24"/>
        <v>0</v>
      </c>
      <c r="DP723" s="1354"/>
      <c r="DQ723" s="1354"/>
      <c r="DR723" s="1354"/>
      <c r="DS723" s="1354"/>
      <c r="DT723" s="6"/>
      <c r="DU723" s="1368">
        <f t="shared" si="25"/>
        <v>0</v>
      </c>
      <c r="DV723" s="1368"/>
      <c r="DW723" s="1368"/>
      <c r="DX723" s="1368"/>
      <c r="DY723" s="1368"/>
      <c r="DZ723" s="1368">
        <f t="shared" si="26"/>
        <v>0</v>
      </c>
      <c r="EA723" s="1368"/>
      <c r="EB723" s="1368"/>
      <c r="EC723" s="1368"/>
      <c r="ED723" s="1368"/>
      <c r="EE723" s="1368">
        <f t="shared" si="27"/>
        <v>3</v>
      </c>
      <c r="EF723" s="1368"/>
      <c r="EG723" s="1368"/>
      <c r="EH723" s="1368"/>
      <c r="EI723" s="1368"/>
      <c r="EJ723" s="1368">
        <f t="shared" si="28"/>
        <v>0</v>
      </c>
      <c r="EK723" s="1368"/>
      <c r="EL723" s="1368"/>
      <c r="EM723" s="1368"/>
      <c r="EN723" s="1368"/>
      <c r="EO723" s="1368">
        <f t="shared" si="29"/>
        <v>0</v>
      </c>
      <c r="EP723" s="1368"/>
      <c r="EQ723" s="1368"/>
      <c r="ER723" s="1368"/>
      <c r="ES723" s="1368"/>
      <c r="ET723" s="1368">
        <f t="shared" si="30"/>
        <v>0</v>
      </c>
      <c r="EU723" s="1368"/>
      <c r="EV723" s="1368"/>
      <c r="EW723" s="1368"/>
      <c r="EX723" s="1368"/>
      <c r="EZ723" s="1351" t="str">
        <f t="shared" si="31"/>
        <v/>
      </c>
      <c r="FA723" s="1352"/>
      <c r="FB723" s="1352"/>
      <c r="FC723" s="1352"/>
      <c r="FD723" s="1353"/>
      <c r="FE723" s="1351" t="str">
        <f t="shared" si="32"/>
        <v/>
      </c>
      <c r="FF723" s="1352"/>
      <c r="FG723" s="1352"/>
      <c r="FH723" s="1352"/>
      <c r="FI723" s="1353"/>
      <c r="FJ723" s="1351">
        <f t="shared" si="33"/>
        <v>158.1</v>
      </c>
      <c r="FK723" s="1352"/>
      <c r="FL723" s="1352"/>
      <c r="FM723" s="1352"/>
      <c r="FN723" s="1353"/>
      <c r="FO723" s="1351" t="str">
        <f t="shared" si="34"/>
        <v/>
      </c>
      <c r="FP723" s="1352"/>
      <c r="FQ723" s="1352"/>
      <c r="FR723" s="1352"/>
      <c r="FS723" s="1353"/>
      <c r="FT723" s="1351" t="str">
        <f t="shared" si="35"/>
        <v/>
      </c>
      <c r="FU723" s="1352"/>
      <c r="FV723" s="1352"/>
      <c r="FW723" s="1352"/>
      <c r="FX723" s="1353"/>
      <c r="FY723" s="1351" t="str">
        <f t="shared" si="36"/>
        <v/>
      </c>
      <c r="FZ723" s="1352"/>
      <c r="GA723" s="1352"/>
      <c r="GB723" s="1352"/>
      <c r="GC723" s="1353"/>
    </row>
    <row r="724" spans="1:185" ht="12.95" customHeight="1">
      <c r="B724" s="1355" t="s">
        <v>164</v>
      </c>
      <c r="C724" s="1356"/>
      <c r="D724" s="1356"/>
      <c r="E724" s="1356"/>
      <c r="F724" s="1357"/>
      <c r="G724" s="1364">
        <v>4</v>
      </c>
      <c r="H724" s="1365"/>
      <c r="I724" s="1365"/>
      <c r="J724" s="1366"/>
      <c r="K724" s="1604">
        <v>989.41</v>
      </c>
      <c r="L724" s="1605"/>
      <c r="M724" s="1605"/>
      <c r="N724" s="1606"/>
      <c r="O724" s="1468">
        <v>3362.6</v>
      </c>
      <c r="P724" s="1469"/>
      <c r="Q724" s="1469"/>
      <c r="R724" s="1469"/>
      <c r="S724" s="1470"/>
      <c r="T724" s="1468">
        <v>157</v>
      </c>
      <c r="U724" s="1469"/>
      <c r="V724" s="1469"/>
      <c r="W724" s="1470"/>
      <c r="X724" s="1358">
        <f t="shared" si="9"/>
        <v>3519.6</v>
      </c>
      <c r="Y724" s="1359"/>
      <c r="Z724" s="1359"/>
      <c r="AA724" s="1359"/>
      <c r="AB724" s="1360"/>
      <c r="AC724" s="1613">
        <v>0.7</v>
      </c>
      <c r="AD724" s="1614"/>
      <c r="AE724" s="1614"/>
      <c r="AF724" s="1614"/>
      <c r="AG724" s="1615"/>
      <c r="AH724" s="1361">
        <f t="shared" si="37"/>
        <v>0.7</v>
      </c>
      <c r="AI724" s="1362"/>
      <c r="AJ724" s="1363"/>
      <c r="AK724" s="1355" t="s">
        <v>591</v>
      </c>
      <c r="AL724" s="1356"/>
      <c r="AM724" s="1356"/>
      <c r="AN724" s="1356"/>
      <c r="AO724" s="1357"/>
      <c r="AP724" s="3"/>
      <c r="AQ724" s="3"/>
      <c r="AR724" s="3"/>
      <c r="AS724" s="3"/>
      <c r="AY724" s="116"/>
      <c r="AZ724" s="118">
        <f t="shared" si="10"/>
        <v>5028</v>
      </c>
      <c r="BA724" s="3"/>
      <c r="BB724" s="3"/>
      <c r="BC724" s="3"/>
      <c r="BD724" s="3"/>
      <c r="BE724" s="204"/>
      <c r="BF724" s="294">
        <f t="shared" si="11"/>
        <v>4</v>
      </c>
      <c r="BG724" s="297">
        <f t="shared" si="12"/>
        <v>6.25E-2</v>
      </c>
      <c r="BH724" s="298">
        <f t="shared" si="13"/>
        <v>4.3749999999999997E-2</v>
      </c>
      <c r="BI724" s="3"/>
      <c r="BJ724" s="3"/>
      <c r="BK724" s="3"/>
      <c r="BL724" s="3"/>
      <c r="BM724" s="3"/>
      <c r="BN724" s="3"/>
      <c r="BS724" s="294">
        <f t="shared" si="14"/>
        <v>4</v>
      </c>
      <c r="BT724" s="297">
        <f t="shared" si="15"/>
        <v>6.25E-2</v>
      </c>
      <c r="BU724" s="298">
        <f t="shared" si="16"/>
        <v>4.3749999999999997E-2</v>
      </c>
      <c r="CC724" s="3"/>
      <c r="CE724" s="3"/>
      <c r="CF724" s="3"/>
      <c r="CG724" s="1351">
        <f t="shared" si="38"/>
        <v>0</v>
      </c>
      <c r="CH724" s="1353"/>
      <c r="CI724" s="1335">
        <f t="shared" si="39"/>
        <v>0</v>
      </c>
      <c r="CJ724" s="1337"/>
      <c r="CK724" s="1351">
        <f t="shared" si="17"/>
        <v>0</v>
      </c>
      <c r="CL724" s="1353"/>
      <c r="CM724" s="1335">
        <f t="shared" si="18"/>
        <v>0</v>
      </c>
      <c r="CN724" s="1337"/>
      <c r="CO724" s="3"/>
      <c r="CP724" s="1332">
        <f t="shared" si="19"/>
        <v>0</v>
      </c>
      <c r="CQ724" s="1333"/>
      <c r="CR724" s="1333"/>
      <c r="CS724" s="1333"/>
      <c r="CT724" s="1334"/>
      <c r="CU724" s="1354">
        <f t="shared" si="20"/>
        <v>0</v>
      </c>
      <c r="CV724" s="1354"/>
      <c r="CW724" s="1354"/>
      <c r="CX724" s="1354"/>
      <c r="CY724" s="1354"/>
      <c r="CZ724" s="1354">
        <f t="shared" si="21"/>
        <v>0</v>
      </c>
      <c r="DA724" s="1354"/>
      <c r="DB724" s="1354"/>
      <c r="DC724" s="1354"/>
      <c r="DD724" s="1354"/>
      <c r="DE724" s="1354">
        <f t="shared" si="22"/>
        <v>4</v>
      </c>
      <c r="DF724" s="1354"/>
      <c r="DG724" s="1354"/>
      <c r="DH724" s="1354"/>
      <c r="DI724" s="1354"/>
      <c r="DJ724" s="1354">
        <f t="shared" si="23"/>
        <v>0</v>
      </c>
      <c r="DK724" s="1354"/>
      <c r="DL724" s="1354"/>
      <c r="DM724" s="1354"/>
      <c r="DN724" s="1354"/>
      <c r="DO724" s="1354">
        <f t="shared" si="24"/>
        <v>0</v>
      </c>
      <c r="DP724" s="1354"/>
      <c r="DQ724" s="1354"/>
      <c r="DR724" s="1354"/>
      <c r="DS724" s="1354"/>
      <c r="DT724" s="6"/>
      <c r="DU724" s="1368">
        <f t="shared" si="25"/>
        <v>0</v>
      </c>
      <c r="DV724" s="1368"/>
      <c r="DW724" s="1368"/>
      <c r="DX724" s="1368"/>
      <c r="DY724" s="1368"/>
      <c r="DZ724" s="1368">
        <f t="shared" si="26"/>
        <v>0</v>
      </c>
      <c r="EA724" s="1368"/>
      <c r="EB724" s="1368"/>
      <c r="EC724" s="1368"/>
      <c r="ED724" s="1368"/>
      <c r="EE724" s="1368">
        <f t="shared" si="27"/>
        <v>0</v>
      </c>
      <c r="EF724" s="1368"/>
      <c r="EG724" s="1368"/>
      <c r="EH724" s="1368"/>
      <c r="EI724" s="1368"/>
      <c r="EJ724" s="1368">
        <f t="shared" si="28"/>
        <v>0</v>
      </c>
      <c r="EK724" s="1368"/>
      <c r="EL724" s="1368"/>
      <c r="EM724" s="1368"/>
      <c r="EN724" s="1368"/>
      <c r="EO724" s="1368">
        <f t="shared" si="29"/>
        <v>0</v>
      </c>
      <c r="EP724" s="1368"/>
      <c r="EQ724" s="1368"/>
      <c r="ER724" s="1368"/>
      <c r="ES724" s="1368"/>
      <c r="ET724" s="1368">
        <f t="shared" si="30"/>
        <v>0</v>
      </c>
      <c r="EU724" s="1368"/>
      <c r="EV724" s="1368"/>
      <c r="EW724" s="1368"/>
      <c r="EX724" s="1368"/>
      <c r="EZ724" s="1351" t="str">
        <f t="shared" si="31"/>
        <v/>
      </c>
      <c r="FA724" s="1352"/>
      <c r="FB724" s="1352"/>
      <c r="FC724" s="1352"/>
      <c r="FD724" s="1353"/>
      <c r="FE724" s="1351" t="str">
        <f t="shared" si="32"/>
        <v/>
      </c>
      <c r="FF724" s="1352"/>
      <c r="FG724" s="1352"/>
      <c r="FH724" s="1352"/>
      <c r="FI724" s="1353"/>
      <c r="FJ724" s="1351" t="str">
        <f t="shared" si="33"/>
        <v/>
      </c>
      <c r="FK724" s="1352"/>
      <c r="FL724" s="1352"/>
      <c r="FM724" s="1352"/>
      <c r="FN724" s="1353"/>
      <c r="FO724" s="1351">
        <f t="shared" si="34"/>
        <v>3362.6</v>
      </c>
      <c r="FP724" s="1352"/>
      <c r="FQ724" s="1352"/>
      <c r="FR724" s="1352"/>
      <c r="FS724" s="1353"/>
      <c r="FT724" s="1351" t="str">
        <f t="shared" si="35"/>
        <v/>
      </c>
      <c r="FU724" s="1352"/>
      <c r="FV724" s="1352"/>
      <c r="FW724" s="1352"/>
      <c r="FX724" s="1353"/>
      <c r="FY724" s="1351" t="str">
        <f t="shared" si="36"/>
        <v/>
      </c>
      <c r="FZ724" s="1352"/>
      <c r="GA724" s="1352"/>
      <c r="GB724" s="1352"/>
      <c r="GC724" s="1353"/>
    </row>
    <row r="725" spans="1:185" ht="12.95" customHeight="1">
      <c r="B725" s="1355" t="s">
        <v>164</v>
      </c>
      <c r="C725" s="1356"/>
      <c r="D725" s="1356"/>
      <c r="E725" s="1356"/>
      <c r="F725" s="1357"/>
      <c r="G725" s="1364">
        <v>9</v>
      </c>
      <c r="H725" s="1365"/>
      <c r="I725" s="1365"/>
      <c r="J725" s="1366"/>
      <c r="K725" s="1604">
        <v>989.41</v>
      </c>
      <c r="L725" s="1605"/>
      <c r="M725" s="1605"/>
      <c r="N725" s="1606"/>
      <c r="O725" s="1468">
        <v>2357</v>
      </c>
      <c r="P725" s="1469"/>
      <c r="Q725" s="1469"/>
      <c r="R725" s="1469"/>
      <c r="S725" s="1470"/>
      <c r="T725" s="1468">
        <v>157</v>
      </c>
      <c r="U725" s="1469"/>
      <c r="V725" s="1469"/>
      <c r="W725" s="1470"/>
      <c r="X725" s="1358">
        <f t="shared" si="9"/>
        <v>2514</v>
      </c>
      <c r="Y725" s="1359"/>
      <c r="Z725" s="1359"/>
      <c r="AA725" s="1359"/>
      <c r="AB725" s="1360"/>
      <c r="AC725" s="1613">
        <v>0.5</v>
      </c>
      <c r="AD725" s="1614"/>
      <c r="AE725" s="1614"/>
      <c r="AF725" s="1614"/>
      <c r="AG725" s="1615"/>
      <c r="AH725" s="1361">
        <f t="shared" si="37"/>
        <v>0.5</v>
      </c>
      <c r="AI725" s="1362"/>
      <c r="AJ725" s="1363"/>
      <c r="AK725" s="1355" t="s">
        <v>591</v>
      </c>
      <c r="AL725" s="1356"/>
      <c r="AM725" s="1356"/>
      <c r="AN725" s="1356"/>
      <c r="AO725" s="1357"/>
      <c r="AP725" s="3"/>
      <c r="AQ725" s="3"/>
      <c r="AR725" s="3"/>
      <c r="AS725" s="3"/>
      <c r="AY725" s="1085"/>
      <c r="AZ725" s="118">
        <f t="shared" si="10"/>
        <v>5028</v>
      </c>
      <c r="BA725" s="3"/>
      <c r="BB725" s="3"/>
      <c r="BC725" s="3"/>
      <c r="BD725" s="3"/>
      <c r="BE725" s="204"/>
      <c r="BF725" s="294">
        <f t="shared" si="11"/>
        <v>9</v>
      </c>
      <c r="BG725" s="297">
        <f t="shared" si="12"/>
        <v>0.140625</v>
      </c>
      <c r="BH725" s="298">
        <f t="shared" si="13"/>
        <v>7.03125E-2</v>
      </c>
      <c r="BI725" s="3"/>
      <c r="BJ725" s="3"/>
      <c r="BK725" s="3"/>
      <c r="BL725" s="3"/>
      <c r="BM725" s="3"/>
      <c r="BN725" s="3"/>
      <c r="BS725" s="294">
        <f t="shared" si="14"/>
        <v>9</v>
      </c>
      <c r="BT725" s="297">
        <f t="shared" si="15"/>
        <v>0.140625</v>
      </c>
      <c r="BU725" s="298">
        <f t="shared" si="16"/>
        <v>7.03125E-2</v>
      </c>
      <c r="BV725" s="292"/>
      <c r="BW725" s="3"/>
      <c r="BX725" s="3"/>
      <c r="BY725" s="3"/>
      <c r="BZ725" s="3"/>
      <c r="CA725" s="3"/>
      <c r="CB725" s="3"/>
      <c r="CC725" s="3"/>
      <c r="CE725" s="3"/>
      <c r="CF725" s="3"/>
      <c r="CG725" s="1351">
        <f t="shared" si="38"/>
        <v>1</v>
      </c>
      <c r="CH725" s="1353"/>
      <c r="CI725" s="1335">
        <f t="shared" si="39"/>
        <v>9</v>
      </c>
      <c r="CJ725" s="1337"/>
      <c r="CK725" s="1351">
        <f t="shared" si="17"/>
        <v>0</v>
      </c>
      <c r="CL725" s="1353"/>
      <c r="CM725" s="1335">
        <f t="shared" si="18"/>
        <v>0</v>
      </c>
      <c r="CN725" s="1337"/>
      <c r="CO725" s="3"/>
      <c r="CP725" s="1332">
        <f t="shared" si="19"/>
        <v>0</v>
      </c>
      <c r="CQ725" s="1333"/>
      <c r="CR725" s="1333"/>
      <c r="CS725" s="1333"/>
      <c r="CT725" s="1334"/>
      <c r="CU725" s="1354">
        <f t="shared" si="20"/>
        <v>0</v>
      </c>
      <c r="CV725" s="1354"/>
      <c r="CW725" s="1354"/>
      <c r="CX725" s="1354"/>
      <c r="CY725" s="1354"/>
      <c r="CZ725" s="1354">
        <f t="shared" si="21"/>
        <v>0</v>
      </c>
      <c r="DA725" s="1354"/>
      <c r="DB725" s="1354"/>
      <c r="DC725" s="1354"/>
      <c r="DD725" s="1354"/>
      <c r="DE725" s="1354">
        <f t="shared" si="22"/>
        <v>9</v>
      </c>
      <c r="DF725" s="1354"/>
      <c r="DG725" s="1354"/>
      <c r="DH725" s="1354"/>
      <c r="DI725" s="1354"/>
      <c r="DJ725" s="1354">
        <f t="shared" si="23"/>
        <v>0</v>
      </c>
      <c r="DK725" s="1354"/>
      <c r="DL725" s="1354"/>
      <c r="DM725" s="1354"/>
      <c r="DN725" s="1354"/>
      <c r="DO725" s="1354">
        <f t="shared" si="24"/>
        <v>0</v>
      </c>
      <c r="DP725" s="1354"/>
      <c r="DQ725" s="1354"/>
      <c r="DR725" s="1354"/>
      <c r="DS725" s="1354"/>
      <c r="DT725" s="6"/>
      <c r="DU725" s="1368">
        <f t="shared" si="25"/>
        <v>0</v>
      </c>
      <c r="DV725" s="1368"/>
      <c r="DW725" s="1368"/>
      <c r="DX725" s="1368"/>
      <c r="DY725" s="1368"/>
      <c r="DZ725" s="1368">
        <f t="shared" si="26"/>
        <v>0</v>
      </c>
      <c r="EA725" s="1368"/>
      <c r="EB725" s="1368"/>
      <c r="EC725" s="1368"/>
      <c r="ED725" s="1368"/>
      <c r="EE725" s="1368">
        <f t="shared" si="27"/>
        <v>0</v>
      </c>
      <c r="EF725" s="1368"/>
      <c r="EG725" s="1368"/>
      <c r="EH725" s="1368"/>
      <c r="EI725" s="1368"/>
      <c r="EJ725" s="1368">
        <f t="shared" si="28"/>
        <v>0</v>
      </c>
      <c r="EK725" s="1368"/>
      <c r="EL725" s="1368"/>
      <c r="EM725" s="1368"/>
      <c r="EN725" s="1368"/>
      <c r="EO725" s="1368">
        <f t="shared" si="29"/>
        <v>0</v>
      </c>
      <c r="EP725" s="1368"/>
      <c r="EQ725" s="1368"/>
      <c r="ER725" s="1368"/>
      <c r="ES725" s="1368"/>
      <c r="ET725" s="1368">
        <f t="shared" si="30"/>
        <v>0</v>
      </c>
      <c r="EU725" s="1368"/>
      <c r="EV725" s="1368"/>
      <c r="EW725" s="1368"/>
      <c r="EX725" s="1368"/>
      <c r="EZ725" s="1351" t="str">
        <f t="shared" si="31"/>
        <v/>
      </c>
      <c r="FA725" s="1352"/>
      <c r="FB725" s="1352"/>
      <c r="FC725" s="1352"/>
      <c r="FD725" s="1353"/>
      <c r="FE725" s="1351" t="str">
        <f t="shared" si="32"/>
        <v/>
      </c>
      <c r="FF725" s="1352"/>
      <c r="FG725" s="1352"/>
      <c r="FH725" s="1352"/>
      <c r="FI725" s="1353"/>
      <c r="FJ725" s="1351" t="str">
        <f t="shared" si="33"/>
        <v/>
      </c>
      <c r="FK725" s="1352"/>
      <c r="FL725" s="1352"/>
      <c r="FM725" s="1352"/>
      <c r="FN725" s="1353"/>
      <c r="FO725" s="1351">
        <f t="shared" si="34"/>
        <v>2357</v>
      </c>
      <c r="FP725" s="1352"/>
      <c r="FQ725" s="1352"/>
      <c r="FR725" s="1352"/>
      <c r="FS725" s="1353"/>
      <c r="FT725" s="1351" t="str">
        <f t="shared" si="35"/>
        <v/>
      </c>
      <c r="FU725" s="1352"/>
      <c r="FV725" s="1352"/>
      <c r="FW725" s="1352"/>
      <c r="FX725" s="1353"/>
      <c r="FY725" s="1351" t="str">
        <f t="shared" si="36"/>
        <v/>
      </c>
      <c r="FZ725" s="1352"/>
      <c r="GA725" s="1352"/>
      <c r="GB725" s="1352"/>
      <c r="GC725" s="1353"/>
    </row>
    <row r="726" spans="1:185" ht="12.95" customHeight="1">
      <c r="B726" s="1355" t="s">
        <v>164</v>
      </c>
      <c r="C726" s="1356"/>
      <c r="D726" s="1356"/>
      <c r="E726" s="1356"/>
      <c r="F726" s="1357"/>
      <c r="G726" s="1364">
        <v>3</v>
      </c>
      <c r="H726" s="1365"/>
      <c r="I726" s="1365"/>
      <c r="J726" s="1366"/>
      <c r="K726" s="1604">
        <v>989.41</v>
      </c>
      <c r="L726" s="1605"/>
      <c r="M726" s="1605"/>
      <c r="N726" s="1606"/>
      <c r="O726" s="1468">
        <v>172.9</v>
      </c>
      <c r="P726" s="1469"/>
      <c r="Q726" s="1469"/>
      <c r="R726" s="1469"/>
      <c r="S726" s="1470"/>
      <c r="T726" s="1468">
        <v>157</v>
      </c>
      <c r="U726" s="1469"/>
      <c r="V726" s="1469"/>
      <c r="W726" s="1470"/>
      <c r="X726" s="1358">
        <f t="shared" si="9"/>
        <v>329.9</v>
      </c>
      <c r="Y726" s="1359"/>
      <c r="Z726" s="1359"/>
      <c r="AA726" s="1359"/>
      <c r="AB726" s="1360"/>
      <c r="AC726" s="1613">
        <v>0.3</v>
      </c>
      <c r="AD726" s="1614"/>
      <c r="AE726" s="1614"/>
      <c r="AF726" s="1614"/>
      <c r="AG726" s="1615"/>
      <c r="AH726" s="1361">
        <f t="shared" si="37"/>
        <v>6.5612569610182969E-2</v>
      </c>
      <c r="AI726" s="1362"/>
      <c r="AJ726" s="1363"/>
      <c r="AK726" s="1355" t="s">
        <v>2099</v>
      </c>
      <c r="AL726" s="1356"/>
      <c r="AM726" s="1356"/>
      <c r="AN726" s="1356"/>
      <c r="AO726" s="1357"/>
      <c r="AP726" s="3"/>
      <c r="AQ726" s="3"/>
      <c r="AR726" s="3"/>
      <c r="AS726" s="3"/>
      <c r="AY726" s="1085"/>
      <c r="AZ726" s="118">
        <f t="shared" si="10"/>
        <v>5028</v>
      </c>
      <c r="BA726" s="3"/>
      <c r="BB726" s="3"/>
      <c r="BC726" s="3"/>
      <c r="BD726" s="3"/>
      <c r="BE726" s="204"/>
      <c r="BF726" s="294">
        <f t="shared" si="11"/>
        <v>3</v>
      </c>
      <c r="BG726" s="297">
        <f t="shared" si="12"/>
        <v>4.6875E-2</v>
      </c>
      <c r="BH726" s="298">
        <f t="shared" si="13"/>
        <v>1.4062499999999999E-2</v>
      </c>
      <c r="BI726" s="3"/>
      <c r="BJ726" s="3"/>
      <c r="BK726" s="3"/>
      <c r="BL726" s="3"/>
      <c r="BM726" s="3"/>
      <c r="BN726" s="3"/>
      <c r="BS726" s="294">
        <f t="shared" si="14"/>
        <v>3</v>
      </c>
      <c r="BT726" s="297">
        <f t="shared" si="15"/>
        <v>4.6875E-2</v>
      </c>
      <c r="BU726" s="298">
        <f t="shared" si="16"/>
        <v>3.0755892004773267E-3</v>
      </c>
      <c r="BV726" s="3"/>
      <c r="BW726" s="3"/>
      <c r="BX726" s="3"/>
      <c r="BY726" s="3"/>
      <c r="BZ726" s="3"/>
      <c r="CA726" s="3"/>
      <c r="CB726" s="3"/>
      <c r="CC726" s="3"/>
      <c r="CE726" s="3"/>
      <c r="CF726" s="3"/>
      <c r="CG726" s="1351">
        <f t="shared" si="38"/>
        <v>0</v>
      </c>
      <c r="CH726" s="1353"/>
      <c r="CI726" s="1335">
        <f t="shared" si="39"/>
        <v>0</v>
      </c>
      <c r="CJ726" s="1337"/>
      <c r="CK726" s="1351">
        <f t="shared" si="17"/>
        <v>1</v>
      </c>
      <c r="CL726" s="1353"/>
      <c r="CM726" s="1335">
        <f t="shared" si="18"/>
        <v>3</v>
      </c>
      <c r="CN726" s="1337"/>
      <c r="CO726" s="3"/>
      <c r="CP726" s="1332">
        <f t="shared" si="19"/>
        <v>0</v>
      </c>
      <c r="CQ726" s="1333"/>
      <c r="CR726" s="1333"/>
      <c r="CS726" s="1333"/>
      <c r="CT726" s="1334"/>
      <c r="CU726" s="1354">
        <f t="shared" si="20"/>
        <v>0</v>
      </c>
      <c r="CV726" s="1354"/>
      <c r="CW726" s="1354"/>
      <c r="CX726" s="1354"/>
      <c r="CY726" s="1354"/>
      <c r="CZ726" s="1354">
        <f t="shared" si="21"/>
        <v>0</v>
      </c>
      <c r="DA726" s="1354"/>
      <c r="DB726" s="1354"/>
      <c r="DC726" s="1354"/>
      <c r="DD726" s="1354"/>
      <c r="DE726" s="1354">
        <f t="shared" si="22"/>
        <v>3</v>
      </c>
      <c r="DF726" s="1354"/>
      <c r="DG726" s="1354"/>
      <c r="DH726" s="1354"/>
      <c r="DI726" s="1354"/>
      <c r="DJ726" s="1354">
        <f t="shared" si="23"/>
        <v>0</v>
      </c>
      <c r="DK726" s="1354"/>
      <c r="DL726" s="1354"/>
      <c r="DM726" s="1354"/>
      <c r="DN726" s="1354"/>
      <c r="DO726" s="1354">
        <f t="shared" si="24"/>
        <v>0</v>
      </c>
      <c r="DP726" s="1354"/>
      <c r="DQ726" s="1354"/>
      <c r="DR726" s="1354"/>
      <c r="DS726" s="1354"/>
      <c r="DT726" s="6"/>
      <c r="DU726" s="1368">
        <f t="shared" si="25"/>
        <v>0</v>
      </c>
      <c r="DV726" s="1368"/>
      <c r="DW726" s="1368"/>
      <c r="DX726" s="1368"/>
      <c r="DY726" s="1368"/>
      <c r="DZ726" s="1368">
        <f t="shared" si="26"/>
        <v>0</v>
      </c>
      <c r="EA726" s="1368"/>
      <c r="EB726" s="1368"/>
      <c r="EC726" s="1368"/>
      <c r="ED726" s="1368"/>
      <c r="EE726" s="1368">
        <f t="shared" si="27"/>
        <v>0</v>
      </c>
      <c r="EF726" s="1368"/>
      <c r="EG726" s="1368"/>
      <c r="EH726" s="1368"/>
      <c r="EI726" s="1368"/>
      <c r="EJ726" s="1368">
        <f t="shared" si="28"/>
        <v>3</v>
      </c>
      <c r="EK726" s="1368"/>
      <c r="EL726" s="1368"/>
      <c r="EM726" s="1368"/>
      <c r="EN726" s="1368"/>
      <c r="EO726" s="1368">
        <f t="shared" si="29"/>
        <v>0</v>
      </c>
      <c r="EP726" s="1368"/>
      <c r="EQ726" s="1368"/>
      <c r="ER726" s="1368"/>
      <c r="ES726" s="1368"/>
      <c r="ET726" s="1368">
        <f t="shared" si="30"/>
        <v>0</v>
      </c>
      <c r="EU726" s="1368"/>
      <c r="EV726" s="1368"/>
      <c r="EW726" s="1368"/>
      <c r="EX726" s="1368"/>
      <c r="EY726" s="4"/>
      <c r="EZ726" s="1351" t="str">
        <f t="shared" si="31"/>
        <v/>
      </c>
      <c r="FA726" s="1352"/>
      <c r="FB726" s="1352"/>
      <c r="FC726" s="1352"/>
      <c r="FD726" s="1353"/>
      <c r="FE726" s="1351" t="str">
        <f t="shared" si="32"/>
        <v/>
      </c>
      <c r="FF726" s="1352"/>
      <c r="FG726" s="1352"/>
      <c r="FH726" s="1352"/>
      <c r="FI726" s="1353"/>
      <c r="FJ726" s="1351" t="str">
        <f t="shared" si="33"/>
        <v/>
      </c>
      <c r="FK726" s="1352"/>
      <c r="FL726" s="1352"/>
      <c r="FM726" s="1352"/>
      <c r="FN726" s="1353"/>
      <c r="FO726" s="1351">
        <f t="shared" si="34"/>
        <v>172.9</v>
      </c>
      <c r="FP726" s="1352"/>
      <c r="FQ726" s="1352"/>
      <c r="FR726" s="1352"/>
      <c r="FS726" s="1353"/>
      <c r="FT726" s="1351" t="str">
        <f t="shared" si="35"/>
        <v/>
      </c>
      <c r="FU726" s="1352"/>
      <c r="FV726" s="1352"/>
      <c r="FW726" s="1352"/>
      <c r="FX726" s="1353"/>
      <c r="FY726" s="1351" t="str">
        <f t="shared" si="36"/>
        <v/>
      </c>
      <c r="FZ726" s="1352"/>
      <c r="GA726" s="1352"/>
      <c r="GB726" s="1352"/>
      <c r="GC726" s="1353"/>
    </row>
    <row r="727" spans="1:185" ht="12.95" customHeight="1">
      <c r="A727" s="4"/>
      <c r="B727" s="1355"/>
      <c r="C727" s="1356"/>
      <c r="D727" s="1356"/>
      <c r="E727" s="1356"/>
      <c r="F727" s="1357"/>
      <c r="G727" s="1364"/>
      <c r="H727" s="1365"/>
      <c r="I727" s="1365"/>
      <c r="J727" s="1366"/>
      <c r="K727" s="1604"/>
      <c r="L727" s="1605"/>
      <c r="M727" s="1605"/>
      <c r="N727" s="1606"/>
      <c r="O727" s="1468"/>
      <c r="P727" s="1469"/>
      <c r="Q727" s="1469"/>
      <c r="R727" s="1469"/>
      <c r="S727" s="1470"/>
      <c r="T727" s="1468"/>
      <c r="U727" s="1469"/>
      <c r="V727" s="1469"/>
      <c r="W727" s="1470"/>
      <c r="X727" s="1358">
        <f t="shared" si="9"/>
        <v>0</v>
      </c>
      <c r="Y727" s="1359"/>
      <c r="Z727" s="1359"/>
      <c r="AA727" s="1359"/>
      <c r="AB727" s="1360"/>
      <c r="AC727" s="1613"/>
      <c r="AD727" s="1614"/>
      <c r="AE727" s="1614"/>
      <c r="AF727" s="1614"/>
      <c r="AG727" s="1615"/>
      <c r="AH727" s="1361" t="str">
        <f t="shared" si="37"/>
        <v/>
      </c>
      <c r="AI727" s="1362"/>
      <c r="AJ727" s="1363"/>
      <c r="AK727" s="1355" t="s">
        <v>591</v>
      </c>
      <c r="AL727" s="1356"/>
      <c r="AM727" s="1356"/>
      <c r="AN727" s="1356"/>
      <c r="AO727" s="1357"/>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1">
        <f t="shared" si="38"/>
        <v>0</v>
      </c>
      <c r="CH727" s="1353"/>
      <c r="CI727" s="1335">
        <f t="shared" si="39"/>
        <v>0</v>
      </c>
      <c r="CJ727" s="1337"/>
      <c r="CK727" s="1351">
        <f t="shared" si="17"/>
        <v>0</v>
      </c>
      <c r="CL727" s="1353"/>
      <c r="CM727" s="1335">
        <f t="shared" si="18"/>
        <v>0</v>
      </c>
      <c r="CN727" s="1337"/>
      <c r="CO727" s="3"/>
      <c r="CP727" s="1332">
        <f t="shared" si="19"/>
        <v>0</v>
      </c>
      <c r="CQ727" s="1333"/>
      <c r="CR727" s="1333"/>
      <c r="CS727" s="1333"/>
      <c r="CT727" s="1334"/>
      <c r="CU727" s="1354">
        <f t="shared" si="20"/>
        <v>0</v>
      </c>
      <c r="CV727" s="1354"/>
      <c r="CW727" s="1354"/>
      <c r="CX727" s="1354"/>
      <c r="CY727" s="1354"/>
      <c r="CZ727" s="1354">
        <f t="shared" si="21"/>
        <v>0</v>
      </c>
      <c r="DA727" s="1354"/>
      <c r="DB727" s="1354"/>
      <c r="DC727" s="1354"/>
      <c r="DD727" s="1354"/>
      <c r="DE727" s="1354">
        <f t="shared" si="22"/>
        <v>0</v>
      </c>
      <c r="DF727" s="1354"/>
      <c r="DG727" s="1354"/>
      <c r="DH727" s="1354"/>
      <c r="DI727" s="1354"/>
      <c r="DJ727" s="1354">
        <f t="shared" si="23"/>
        <v>0</v>
      </c>
      <c r="DK727" s="1354"/>
      <c r="DL727" s="1354"/>
      <c r="DM727" s="1354"/>
      <c r="DN727" s="1354"/>
      <c r="DO727" s="1354">
        <f t="shared" si="24"/>
        <v>0</v>
      </c>
      <c r="DP727" s="1354"/>
      <c r="DQ727" s="1354"/>
      <c r="DR727" s="1354"/>
      <c r="DS727" s="1354"/>
      <c r="DT727" s="6"/>
      <c r="DU727" s="1368">
        <f t="shared" si="25"/>
        <v>0</v>
      </c>
      <c r="DV727" s="1368"/>
      <c r="DW727" s="1368"/>
      <c r="DX727" s="1368"/>
      <c r="DY727" s="1368"/>
      <c r="DZ727" s="1368">
        <f t="shared" si="26"/>
        <v>0</v>
      </c>
      <c r="EA727" s="1368"/>
      <c r="EB727" s="1368"/>
      <c r="EC727" s="1368"/>
      <c r="ED727" s="1368"/>
      <c r="EE727" s="1368">
        <f t="shared" si="27"/>
        <v>0</v>
      </c>
      <c r="EF727" s="1368"/>
      <c r="EG727" s="1368"/>
      <c r="EH727" s="1368"/>
      <c r="EI727" s="1368"/>
      <c r="EJ727" s="1368">
        <f t="shared" si="28"/>
        <v>0</v>
      </c>
      <c r="EK727" s="1368"/>
      <c r="EL727" s="1368"/>
      <c r="EM727" s="1368"/>
      <c r="EN727" s="1368"/>
      <c r="EO727" s="1368">
        <f t="shared" si="29"/>
        <v>0</v>
      </c>
      <c r="EP727" s="1368"/>
      <c r="EQ727" s="1368"/>
      <c r="ER727" s="1368"/>
      <c r="ES727" s="1368"/>
      <c r="ET727" s="1368">
        <f t="shared" si="30"/>
        <v>0</v>
      </c>
      <c r="EU727" s="1368"/>
      <c r="EV727" s="1368"/>
      <c r="EW727" s="1368"/>
      <c r="EX727" s="1368"/>
      <c r="EY727" s="4"/>
      <c r="EZ727" s="1351" t="str">
        <f t="shared" si="31"/>
        <v/>
      </c>
      <c r="FA727" s="1352"/>
      <c r="FB727" s="1352"/>
      <c r="FC727" s="1352"/>
      <c r="FD727" s="1353"/>
      <c r="FE727" s="1351" t="str">
        <f t="shared" si="32"/>
        <v/>
      </c>
      <c r="FF727" s="1352"/>
      <c r="FG727" s="1352"/>
      <c r="FH727" s="1352"/>
      <c r="FI727" s="1353"/>
      <c r="FJ727" s="1351" t="str">
        <f t="shared" si="33"/>
        <v/>
      </c>
      <c r="FK727" s="1352"/>
      <c r="FL727" s="1352"/>
      <c r="FM727" s="1352"/>
      <c r="FN727" s="1353"/>
      <c r="FO727" s="1351" t="str">
        <f t="shared" si="34"/>
        <v/>
      </c>
      <c r="FP727" s="1352"/>
      <c r="FQ727" s="1352"/>
      <c r="FR727" s="1352"/>
      <c r="FS727" s="1353"/>
      <c r="FT727" s="1351" t="str">
        <f t="shared" si="35"/>
        <v/>
      </c>
      <c r="FU727" s="1352"/>
      <c r="FV727" s="1352"/>
      <c r="FW727" s="1352"/>
      <c r="FX727" s="1353"/>
      <c r="FY727" s="1351" t="str">
        <f t="shared" si="36"/>
        <v/>
      </c>
      <c r="FZ727" s="1352"/>
      <c r="GA727" s="1352"/>
      <c r="GB727" s="1352"/>
      <c r="GC727" s="1353"/>
    </row>
    <row r="728" spans="1:185" ht="12.95" customHeight="1">
      <c r="A728" s="4"/>
      <c r="B728" s="1355"/>
      <c r="C728" s="1356"/>
      <c r="D728" s="1356"/>
      <c r="E728" s="1356"/>
      <c r="F728" s="1357"/>
      <c r="G728" s="1364"/>
      <c r="H728" s="1365"/>
      <c r="I728" s="1365"/>
      <c r="J728" s="1366"/>
      <c r="K728" s="1604"/>
      <c r="L728" s="1605"/>
      <c r="M728" s="1605"/>
      <c r="N728" s="1606"/>
      <c r="O728" s="1468"/>
      <c r="P728" s="1469"/>
      <c r="Q728" s="1469"/>
      <c r="R728" s="1469"/>
      <c r="S728" s="1470"/>
      <c r="T728" s="1468"/>
      <c r="U728" s="1469"/>
      <c r="V728" s="1469"/>
      <c r="W728" s="1470"/>
      <c r="X728" s="1358">
        <f t="shared" si="9"/>
        <v>0</v>
      </c>
      <c r="Y728" s="1359"/>
      <c r="Z728" s="1359"/>
      <c r="AA728" s="1359"/>
      <c r="AB728" s="1360"/>
      <c r="AC728" s="1613"/>
      <c r="AD728" s="1614"/>
      <c r="AE728" s="1614"/>
      <c r="AF728" s="1614"/>
      <c r="AG728" s="1615"/>
      <c r="AH728" s="1361" t="str">
        <f t="shared" si="37"/>
        <v/>
      </c>
      <c r="AI728" s="1362"/>
      <c r="AJ728" s="1363"/>
      <c r="AK728" s="1355" t="s">
        <v>591</v>
      </c>
      <c r="AL728" s="1356"/>
      <c r="AM728" s="1356"/>
      <c r="AN728" s="1356"/>
      <c r="AO728" s="1357"/>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1">
        <f t="shared" si="38"/>
        <v>0</v>
      </c>
      <c r="CH728" s="1353"/>
      <c r="CI728" s="1335">
        <f t="shared" si="39"/>
        <v>0</v>
      </c>
      <c r="CJ728" s="1337"/>
      <c r="CK728" s="1351">
        <f t="shared" si="17"/>
        <v>0</v>
      </c>
      <c r="CL728" s="1353"/>
      <c r="CM728" s="1335">
        <f t="shared" si="18"/>
        <v>0</v>
      </c>
      <c r="CN728" s="1337"/>
      <c r="CO728" s="3"/>
      <c r="CP728" s="1332">
        <f t="shared" si="19"/>
        <v>0</v>
      </c>
      <c r="CQ728" s="1333"/>
      <c r="CR728" s="1333"/>
      <c r="CS728" s="1333"/>
      <c r="CT728" s="1334"/>
      <c r="CU728" s="1354">
        <f t="shared" si="20"/>
        <v>0</v>
      </c>
      <c r="CV728" s="1354"/>
      <c r="CW728" s="1354"/>
      <c r="CX728" s="1354"/>
      <c r="CY728" s="1354"/>
      <c r="CZ728" s="1354">
        <f t="shared" si="21"/>
        <v>0</v>
      </c>
      <c r="DA728" s="1354"/>
      <c r="DB728" s="1354"/>
      <c r="DC728" s="1354"/>
      <c r="DD728" s="1354"/>
      <c r="DE728" s="1354">
        <f t="shared" si="22"/>
        <v>0</v>
      </c>
      <c r="DF728" s="1354"/>
      <c r="DG728" s="1354"/>
      <c r="DH728" s="1354"/>
      <c r="DI728" s="1354"/>
      <c r="DJ728" s="1354">
        <f t="shared" si="23"/>
        <v>0</v>
      </c>
      <c r="DK728" s="1354"/>
      <c r="DL728" s="1354"/>
      <c r="DM728" s="1354"/>
      <c r="DN728" s="1354"/>
      <c r="DO728" s="1354">
        <f t="shared" si="24"/>
        <v>0</v>
      </c>
      <c r="DP728" s="1354"/>
      <c r="DQ728" s="1354"/>
      <c r="DR728" s="1354"/>
      <c r="DS728" s="1354"/>
      <c r="DT728" s="6"/>
      <c r="DU728" s="1368">
        <f t="shared" si="25"/>
        <v>0</v>
      </c>
      <c r="DV728" s="1368"/>
      <c r="DW728" s="1368"/>
      <c r="DX728" s="1368"/>
      <c r="DY728" s="1368"/>
      <c r="DZ728" s="1368">
        <f t="shared" si="26"/>
        <v>0</v>
      </c>
      <c r="EA728" s="1368"/>
      <c r="EB728" s="1368"/>
      <c r="EC728" s="1368"/>
      <c r="ED728" s="1368"/>
      <c r="EE728" s="1368">
        <f t="shared" si="27"/>
        <v>0</v>
      </c>
      <c r="EF728" s="1368"/>
      <c r="EG728" s="1368"/>
      <c r="EH728" s="1368"/>
      <c r="EI728" s="1368"/>
      <c r="EJ728" s="1368">
        <f t="shared" si="28"/>
        <v>0</v>
      </c>
      <c r="EK728" s="1368"/>
      <c r="EL728" s="1368"/>
      <c r="EM728" s="1368"/>
      <c r="EN728" s="1368"/>
      <c r="EO728" s="1368">
        <f t="shared" si="29"/>
        <v>0</v>
      </c>
      <c r="EP728" s="1368"/>
      <c r="EQ728" s="1368"/>
      <c r="ER728" s="1368"/>
      <c r="ES728" s="1368"/>
      <c r="ET728" s="1368">
        <f t="shared" si="30"/>
        <v>0</v>
      </c>
      <c r="EU728" s="1368"/>
      <c r="EV728" s="1368"/>
      <c r="EW728" s="1368"/>
      <c r="EX728" s="1368"/>
      <c r="EY728" s="4"/>
      <c r="EZ728" s="1351" t="str">
        <f t="shared" si="31"/>
        <v/>
      </c>
      <c r="FA728" s="1352"/>
      <c r="FB728" s="1352"/>
      <c r="FC728" s="1352"/>
      <c r="FD728" s="1353"/>
      <c r="FE728" s="1351" t="str">
        <f t="shared" si="32"/>
        <v/>
      </c>
      <c r="FF728" s="1352"/>
      <c r="FG728" s="1352"/>
      <c r="FH728" s="1352"/>
      <c r="FI728" s="1353"/>
      <c r="FJ728" s="1351" t="str">
        <f t="shared" si="33"/>
        <v/>
      </c>
      <c r="FK728" s="1352"/>
      <c r="FL728" s="1352"/>
      <c r="FM728" s="1352"/>
      <c r="FN728" s="1353"/>
      <c r="FO728" s="1351" t="str">
        <f t="shared" si="34"/>
        <v/>
      </c>
      <c r="FP728" s="1352"/>
      <c r="FQ728" s="1352"/>
      <c r="FR728" s="1352"/>
      <c r="FS728" s="1353"/>
      <c r="FT728" s="1351" t="str">
        <f t="shared" si="35"/>
        <v/>
      </c>
      <c r="FU728" s="1352"/>
      <c r="FV728" s="1352"/>
      <c r="FW728" s="1352"/>
      <c r="FX728" s="1353"/>
      <c r="FY728" s="1351" t="str">
        <f t="shared" si="36"/>
        <v/>
      </c>
      <c r="FZ728" s="1352"/>
      <c r="GA728" s="1352"/>
      <c r="GB728" s="1352"/>
      <c r="GC728" s="1353"/>
    </row>
    <row r="729" spans="1:185" ht="12.95" customHeight="1">
      <c r="A729" s="4"/>
      <c r="B729" s="1355"/>
      <c r="C729" s="1356"/>
      <c r="D729" s="1356"/>
      <c r="E729" s="1356"/>
      <c r="F729" s="1357"/>
      <c r="G729" s="1364"/>
      <c r="H729" s="1365"/>
      <c r="I729" s="1365"/>
      <c r="J729" s="1366"/>
      <c r="K729" s="1604"/>
      <c r="L729" s="1605"/>
      <c r="M729" s="1605"/>
      <c r="N729" s="1606"/>
      <c r="O729" s="1468"/>
      <c r="P729" s="1469"/>
      <c r="Q729" s="1469"/>
      <c r="R729" s="1469"/>
      <c r="S729" s="1470"/>
      <c r="T729" s="1468"/>
      <c r="U729" s="1469"/>
      <c r="V729" s="1469"/>
      <c r="W729" s="1470"/>
      <c r="X729" s="1358">
        <f t="shared" si="9"/>
        <v>0</v>
      </c>
      <c r="Y729" s="1359"/>
      <c r="Z729" s="1359"/>
      <c r="AA729" s="1359"/>
      <c r="AB729" s="1360"/>
      <c r="AC729" s="1613"/>
      <c r="AD729" s="1614"/>
      <c r="AE729" s="1614"/>
      <c r="AF729" s="1614"/>
      <c r="AG729" s="1615"/>
      <c r="AH729" s="1361" t="str">
        <f t="shared" si="37"/>
        <v/>
      </c>
      <c r="AI729" s="1362"/>
      <c r="AJ729" s="1363"/>
      <c r="AK729" s="1355" t="s">
        <v>591</v>
      </c>
      <c r="AL729" s="1356"/>
      <c r="AM729" s="1356"/>
      <c r="AN729" s="1356"/>
      <c r="AO729" s="1357"/>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1">
        <f t="shared" si="38"/>
        <v>0</v>
      </c>
      <c r="CH729" s="1353"/>
      <c r="CI729" s="1335">
        <f t="shared" si="39"/>
        <v>0</v>
      </c>
      <c r="CJ729" s="1337"/>
      <c r="CK729" s="1351">
        <f t="shared" si="17"/>
        <v>0</v>
      </c>
      <c r="CL729" s="1353"/>
      <c r="CM729" s="1335">
        <f t="shared" si="18"/>
        <v>0</v>
      </c>
      <c r="CN729" s="1337"/>
      <c r="CO729" s="3"/>
      <c r="CP729" s="1332">
        <f t="shared" si="19"/>
        <v>0</v>
      </c>
      <c r="CQ729" s="1333"/>
      <c r="CR729" s="1333"/>
      <c r="CS729" s="1333"/>
      <c r="CT729" s="1334"/>
      <c r="CU729" s="1354">
        <f t="shared" si="20"/>
        <v>0</v>
      </c>
      <c r="CV729" s="1354"/>
      <c r="CW729" s="1354"/>
      <c r="CX729" s="1354"/>
      <c r="CY729" s="1354"/>
      <c r="CZ729" s="1354">
        <f t="shared" si="21"/>
        <v>0</v>
      </c>
      <c r="DA729" s="1354"/>
      <c r="DB729" s="1354"/>
      <c r="DC729" s="1354"/>
      <c r="DD729" s="1354"/>
      <c r="DE729" s="1354">
        <f t="shared" si="22"/>
        <v>0</v>
      </c>
      <c r="DF729" s="1354"/>
      <c r="DG729" s="1354"/>
      <c r="DH729" s="1354"/>
      <c r="DI729" s="1354"/>
      <c r="DJ729" s="1354">
        <f t="shared" si="23"/>
        <v>0</v>
      </c>
      <c r="DK729" s="1354"/>
      <c r="DL729" s="1354"/>
      <c r="DM729" s="1354"/>
      <c r="DN729" s="1354"/>
      <c r="DO729" s="1354">
        <f t="shared" si="24"/>
        <v>0</v>
      </c>
      <c r="DP729" s="1354"/>
      <c r="DQ729" s="1354"/>
      <c r="DR729" s="1354"/>
      <c r="DS729" s="1354"/>
      <c r="DT729" s="6"/>
      <c r="DU729" s="1368">
        <f t="shared" si="25"/>
        <v>0</v>
      </c>
      <c r="DV729" s="1368"/>
      <c r="DW729" s="1368"/>
      <c r="DX729" s="1368"/>
      <c r="DY729" s="1368"/>
      <c r="DZ729" s="1368">
        <f t="shared" si="26"/>
        <v>0</v>
      </c>
      <c r="EA729" s="1368"/>
      <c r="EB729" s="1368"/>
      <c r="EC729" s="1368"/>
      <c r="ED729" s="1368"/>
      <c r="EE729" s="1368">
        <f t="shared" si="27"/>
        <v>0</v>
      </c>
      <c r="EF729" s="1368"/>
      <c r="EG729" s="1368"/>
      <c r="EH729" s="1368"/>
      <c r="EI729" s="1368"/>
      <c r="EJ729" s="1368">
        <f t="shared" si="28"/>
        <v>0</v>
      </c>
      <c r="EK729" s="1368"/>
      <c r="EL729" s="1368"/>
      <c r="EM729" s="1368"/>
      <c r="EN729" s="1368"/>
      <c r="EO729" s="1368">
        <f t="shared" si="29"/>
        <v>0</v>
      </c>
      <c r="EP729" s="1368"/>
      <c r="EQ729" s="1368"/>
      <c r="ER729" s="1368"/>
      <c r="ES729" s="1368"/>
      <c r="ET729" s="1368">
        <f t="shared" si="30"/>
        <v>0</v>
      </c>
      <c r="EU729" s="1368"/>
      <c r="EV729" s="1368"/>
      <c r="EW729" s="1368"/>
      <c r="EX729" s="1368"/>
      <c r="EZ729" s="1351" t="str">
        <f t="shared" si="31"/>
        <v/>
      </c>
      <c r="FA729" s="1352"/>
      <c r="FB729" s="1352"/>
      <c r="FC729" s="1352"/>
      <c r="FD729" s="1353"/>
      <c r="FE729" s="1351" t="str">
        <f t="shared" si="32"/>
        <v/>
      </c>
      <c r="FF729" s="1352"/>
      <c r="FG729" s="1352"/>
      <c r="FH729" s="1352"/>
      <c r="FI729" s="1353"/>
      <c r="FJ729" s="1351" t="str">
        <f t="shared" si="33"/>
        <v/>
      </c>
      <c r="FK729" s="1352"/>
      <c r="FL729" s="1352"/>
      <c r="FM729" s="1352"/>
      <c r="FN729" s="1353"/>
      <c r="FO729" s="1351" t="str">
        <f t="shared" si="34"/>
        <v/>
      </c>
      <c r="FP729" s="1352"/>
      <c r="FQ729" s="1352"/>
      <c r="FR729" s="1352"/>
      <c r="FS729" s="1353"/>
      <c r="FT729" s="1351" t="str">
        <f t="shared" si="35"/>
        <v/>
      </c>
      <c r="FU729" s="1352"/>
      <c r="FV729" s="1352"/>
      <c r="FW729" s="1352"/>
      <c r="FX729" s="1353"/>
      <c r="FY729" s="1351" t="str">
        <f t="shared" si="36"/>
        <v/>
      </c>
      <c r="FZ729" s="1352"/>
      <c r="GA729" s="1352"/>
      <c r="GB729" s="1352"/>
      <c r="GC729" s="1353"/>
    </row>
    <row r="730" spans="1:185" ht="12.95" customHeight="1">
      <c r="B730" s="1355"/>
      <c r="C730" s="1356"/>
      <c r="D730" s="1356"/>
      <c r="E730" s="1356"/>
      <c r="F730" s="1357"/>
      <c r="G730" s="1364"/>
      <c r="H730" s="1365"/>
      <c r="I730" s="1365"/>
      <c r="J730" s="1366"/>
      <c r="K730" s="1604"/>
      <c r="L730" s="1605"/>
      <c r="M730" s="1605"/>
      <c r="N730" s="1606"/>
      <c r="O730" s="1468"/>
      <c r="P730" s="1469"/>
      <c r="Q730" s="1469"/>
      <c r="R730" s="1469"/>
      <c r="S730" s="1470"/>
      <c r="T730" s="1468"/>
      <c r="U730" s="1469"/>
      <c r="V730" s="1469"/>
      <c r="W730" s="1470"/>
      <c r="X730" s="1358">
        <f t="shared" si="9"/>
        <v>0</v>
      </c>
      <c r="Y730" s="1359"/>
      <c r="Z730" s="1359"/>
      <c r="AA730" s="1359"/>
      <c r="AB730" s="1360"/>
      <c r="AC730" s="1613"/>
      <c r="AD730" s="1614"/>
      <c r="AE730" s="1614"/>
      <c r="AF730" s="1614"/>
      <c r="AG730" s="1615"/>
      <c r="AH730" s="1361" t="str">
        <f t="shared" si="37"/>
        <v/>
      </c>
      <c r="AI730" s="1362"/>
      <c r="AJ730" s="1363"/>
      <c r="AK730" s="1355" t="s">
        <v>591</v>
      </c>
      <c r="AL730" s="1356"/>
      <c r="AM730" s="1356"/>
      <c r="AN730" s="1356"/>
      <c r="AO730" s="1357"/>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1">
        <f t="shared" si="38"/>
        <v>0</v>
      </c>
      <c r="CH730" s="1353"/>
      <c r="CI730" s="1335">
        <f t="shared" si="39"/>
        <v>0</v>
      </c>
      <c r="CJ730" s="1337"/>
      <c r="CK730" s="1351">
        <f t="shared" si="17"/>
        <v>0</v>
      </c>
      <c r="CL730" s="1353"/>
      <c r="CM730" s="1335">
        <f t="shared" si="18"/>
        <v>0</v>
      </c>
      <c r="CN730" s="1337"/>
      <c r="CO730" s="3"/>
      <c r="CP730" s="1332">
        <f t="shared" si="19"/>
        <v>0</v>
      </c>
      <c r="CQ730" s="1333"/>
      <c r="CR730" s="1333"/>
      <c r="CS730" s="1333"/>
      <c r="CT730" s="1334"/>
      <c r="CU730" s="1354">
        <f t="shared" si="20"/>
        <v>0</v>
      </c>
      <c r="CV730" s="1354"/>
      <c r="CW730" s="1354"/>
      <c r="CX730" s="1354"/>
      <c r="CY730" s="1354"/>
      <c r="CZ730" s="1354">
        <f t="shared" si="21"/>
        <v>0</v>
      </c>
      <c r="DA730" s="1354"/>
      <c r="DB730" s="1354"/>
      <c r="DC730" s="1354"/>
      <c r="DD730" s="1354"/>
      <c r="DE730" s="1354">
        <f t="shared" si="22"/>
        <v>0</v>
      </c>
      <c r="DF730" s="1354"/>
      <c r="DG730" s="1354"/>
      <c r="DH730" s="1354"/>
      <c r="DI730" s="1354"/>
      <c r="DJ730" s="1354">
        <f t="shared" si="23"/>
        <v>0</v>
      </c>
      <c r="DK730" s="1354"/>
      <c r="DL730" s="1354"/>
      <c r="DM730" s="1354"/>
      <c r="DN730" s="1354"/>
      <c r="DO730" s="1354">
        <f t="shared" si="24"/>
        <v>0</v>
      </c>
      <c r="DP730" s="1354"/>
      <c r="DQ730" s="1354"/>
      <c r="DR730" s="1354"/>
      <c r="DS730" s="1354"/>
      <c r="DT730" s="6"/>
      <c r="DU730" s="1368">
        <f t="shared" si="25"/>
        <v>0</v>
      </c>
      <c r="DV730" s="1368"/>
      <c r="DW730" s="1368"/>
      <c r="DX730" s="1368"/>
      <c r="DY730" s="1368"/>
      <c r="DZ730" s="1368">
        <f t="shared" si="26"/>
        <v>0</v>
      </c>
      <c r="EA730" s="1368"/>
      <c r="EB730" s="1368"/>
      <c r="EC730" s="1368"/>
      <c r="ED730" s="1368"/>
      <c r="EE730" s="1368">
        <f t="shared" si="27"/>
        <v>0</v>
      </c>
      <c r="EF730" s="1368"/>
      <c r="EG730" s="1368"/>
      <c r="EH730" s="1368"/>
      <c r="EI730" s="1368"/>
      <c r="EJ730" s="1368">
        <f t="shared" si="28"/>
        <v>0</v>
      </c>
      <c r="EK730" s="1368"/>
      <c r="EL730" s="1368"/>
      <c r="EM730" s="1368"/>
      <c r="EN730" s="1368"/>
      <c r="EO730" s="1368">
        <f t="shared" si="29"/>
        <v>0</v>
      </c>
      <c r="EP730" s="1368"/>
      <c r="EQ730" s="1368"/>
      <c r="ER730" s="1368"/>
      <c r="ES730" s="1368"/>
      <c r="ET730" s="1368">
        <f t="shared" si="30"/>
        <v>0</v>
      </c>
      <c r="EU730" s="1368"/>
      <c r="EV730" s="1368"/>
      <c r="EW730" s="1368"/>
      <c r="EX730" s="1368"/>
      <c r="EZ730" s="1351" t="str">
        <f t="shared" si="31"/>
        <v/>
      </c>
      <c r="FA730" s="1352"/>
      <c r="FB730" s="1352"/>
      <c r="FC730" s="1352"/>
      <c r="FD730" s="1353"/>
      <c r="FE730" s="1351" t="str">
        <f t="shared" si="32"/>
        <v/>
      </c>
      <c r="FF730" s="1352"/>
      <c r="FG730" s="1352"/>
      <c r="FH730" s="1352"/>
      <c r="FI730" s="1353"/>
      <c r="FJ730" s="1351" t="str">
        <f t="shared" si="33"/>
        <v/>
      </c>
      <c r="FK730" s="1352"/>
      <c r="FL730" s="1352"/>
      <c r="FM730" s="1352"/>
      <c r="FN730" s="1353"/>
      <c r="FO730" s="1351" t="str">
        <f t="shared" si="34"/>
        <v/>
      </c>
      <c r="FP730" s="1352"/>
      <c r="FQ730" s="1352"/>
      <c r="FR730" s="1352"/>
      <c r="FS730" s="1353"/>
      <c r="FT730" s="1351" t="str">
        <f t="shared" si="35"/>
        <v/>
      </c>
      <c r="FU730" s="1352"/>
      <c r="FV730" s="1352"/>
      <c r="FW730" s="1352"/>
      <c r="FX730" s="1353"/>
      <c r="FY730" s="1351" t="str">
        <f t="shared" si="36"/>
        <v/>
      </c>
      <c r="FZ730" s="1352"/>
      <c r="GA730" s="1352"/>
      <c r="GB730" s="1352"/>
      <c r="GC730" s="1353"/>
    </row>
    <row r="731" spans="1:185" ht="12.95" customHeight="1">
      <c r="B731" s="1355"/>
      <c r="C731" s="1356"/>
      <c r="D731" s="1356"/>
      <c r="E731" s="1356"/>
      <c r="F731" s="1357"/>
      <c r="G731" s="1364"/>
      <c r="H731" s="1365"/>
      <c r="I731" s="1365"/>
      <c r="J731" s="1366"/>
      <c r="K731" s="1604"/>
      <c r="L731" s="1605"/>
      <c r="M731" s="1605"/>
      <c r="N731" s="1606"/>
      <c r="O731" s="1468"/>
      <c r="P731" s="1469"/>
      <c r="Q731" s="1469"/>
      <c r="R731" s="1469"/>
      <c r="S731" s="1470"/>
      <c r="T731" s="1468"/>
      <c r="U731" s="1469"/>
      <c r="V731" s="1469"/>
      <c r="W731" s="1470"/>
      <c r="X731" s="1358">
        <f t="shared" si="9"/>
        <v>0</v>
      </c>
      <c r="Y731" s="1359"/>
      <c r="Z731" s="1359"/>
      <c r="AA731" s="1359"/>
      <c r="AB731" s="1360"/>
      <c r="AC731" s="1613"/>
      <c r="AD731" s="1614"/>
      <c r="AE731" s="1614"/>
      <c r="AF731" s="1614"/>
      <c r="AG731" s="1615"/>
      <c r="AH731" s="1361" t="str">
        <f t="shared" si="37"/>
        <v/>
      </c>
      <c r="AI731" s="1362"/>
      <c r="AJ731" s="1363"/>
      <c r="AK731" s="1355" t="s">
        <v>591</v>
      </c>
      <c r="AL731" s="1356"/>
      <c r="AM731" s="1356"/>
      <c r="AN731" s="1356"/>
      <c r="AO731" s="1357"/>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1">
        <f t="shared" si="38"/>
        <v>0</v>
      </c>
      <c r="CH731" s="1353"/>
      <c r="CI731" s="1335">
        <f t="shared" si="39"/>
        <v>0</v>
      </c>
      <c r="CJ731" s="1337"/>
      <c r="CK731" s="1351">
        <f t="shared" si="17"/>
        <v>0</v>
      </c>
      <c r="CL731" s="1353"/>
      <c r="CM731" s="1335">
        <f t="shared" si="18"/>
        <v>0</v>
      </c>
      <c r="CN731" s="1337"/>
      <c r="CO731" s="3"/>
      <c r="CP731" s="1332">
        <f t="shared" si="19"/>
        <v>0</v>
      </c>
      <c r="CQ731" s="1333"/>
      <c r="CR731" s="1333"/>
      <c r="CS731" s="1333"/>
      <c r="CT731" s="1334"/>
      <c r="CU731" s="1354">
        <f t="shared" si="20"/>
        <v>0</v>
      </c>
      <c r="CV731" s="1354"/>
      <c r="CW731" s="1354"/>
      <c r="CX731" s="1354"/>
      <c r="CY731" s="1354"/>
      <c r="CZ731" s="1354">
        <f t="shared" si="21"/>
        <v>0</v>
      </c>
      <c r="DA731" s="1354"/>
      <c r="DB731" s="1354"/>
      <c r="DC731" s="1354"/>
      <c r="DD731" s="1354"/>
      <c r="DE731" s="1354">
        <f t="shared" si="22"/>
        <v>0</v>
      </c>
      <c r="DF731" s="1354"/>
      <c r="DG731" s="1354"/>
      <c r="DH731" s="1354"/>
      <c r="DI731" s="1354"/>
      <c r="DJ731" s="1354">
        <f t="shared" si="23"/>
        <v>0</v>
      </c>
      <c r="DK731" s="1354"/>
      <c r="DL731" s="1354"/>
      <c r="DM731" s="1354"/>
      <c r="DN731" s="1354"/>
      <c r="DO731" s="1354">
        <f t="shared" si="24"/>
        <v>0</v>
      </c>
      <c r="DP731" s="1354"/>
      <c r="DQ731" s="1354"/>
      <c r="DR731" s="1354"/>
      <c r="DS731" s="1354"/>
      <c r="DT731" s="6"/>
      <c r="DU731" s="1368">
        <f t="shared" si="25"/>
        <v>0</v>
      </c>
      <c r="DV731" s="1368"/>
      <c r="DW731" s="1368"/>
      <c r="DX731" s="1368"/>
      <c r="DY731" s="1368"/>
      <c r="DZ731" s="1368">
        <f t="shared" si="26"/>
        <v>0</v>
      </c>
      <c r="EA731" s="1368"/>
      <c r="EB731" s="1368"/>
      <c r="EC731" s="1368"/>
      <c r="ED731" s="1368"/>
      <c r="EE731" s="1368">
        <f t="shared" si="27"/>
        <v>0</v>
      </c>
      <c r="EF731" s="1368"/>
      <c r="EG731" s="1368"/>
      <c r="EH731" s="1368"/>
      <c r="EI731" s="1368"/>
      <c r="EJ731" s="1368">
        <f t="shared" si="28"/>
        <v>0</v>
      </c>
      <c r="EK731" s="1368"/>
      <c r="EL731" s="1368"/>
      <c r="EM731" s="1368"/>
      <c r="EN731" s="1368"/>
      <c r="EO731" s="1368">
        <f t="shared" si="29"/>
        <v>0</v>
      </c>
      <c r="EP731" s="1368"/>
      <c r="EQ731" s="1368"/>
      <c r="ER731" s="1368"/>
      <c r="ES731" s="1368"/>
      <c r="ET731" s="1368">
        <f t="shared" si="30"/>
        <v>0</v>
      </c>
      <c r="EU731" s="1368"/>
      <c r="EV731" s="1368"/>
      <c r="EW731" s="1368"/>
      <c r="EX731" s="1368"/>
      <c r="EZ731" s="1351" t="str">
        <f t="shared" si="31"/>
        <v/>
      </c>
      <c r="FA731" s="1352"/>
      <c r="FB731" s="1352"/>
      <c r="FC731" s="1352"/>
      <c r="FD731" s="1353"/>
      <c r="FE731" s="1351" t="str">
        <f t="shared" si="32"/>
        <v/>
      </c>
      <c r="FF731" s="1352"/>
      <c r="FG731" s="1352"/>
      <c r="FH731" s="1352"/>
      <c r="FI731" s="1353"/>
      <c r="FJ731" s="1351" t="str">
        <f t="shared" si="33"/>
        <v/>
      </c>
      <c r="FK731" s="1352"/>
      <c r="FL731" s="1352"/>
      <c r="FM731" s="1352"/>
      <c r="FN731" s="1353"/>
      <c r="FO731" s="1351" t="str">
        <f t="shared" si="34"/>
        <v/>
      </c>
      <c r="FP731" s="1352"/>
      <c r="FQ731" s="1352"/>
      <c r="FR731" s="1352"/>
      <c r="FS731" s="1353"/>
      <c r="FT731" s="1351" t="str">
        <f t="shared" si="35"/>
        <v/>
      </c>
      <c r="FU731" s="1352"/>
      <c r="FV731" s="1352"/>
      <c r="FW731" s="1352"/>
      <c r="FX731" s="1353"/>
      <c r="FY731" s="1351" t="str">
        <f t="shared" si="36"/>
        <v/>
      </c>
      <c r="FZ731" s="1352"/>
      <c r="GA731" s="1352"/>
      <c r="GB731" s="1352"/>
      <c r="GC731" s="1353"/>
    </row>
    <row r="732" spans="1:185" ht="12.95" customHeight="1">
      <c r="B732" s="1355"/>
      <c r="C732" s="1356"/>
      <c r="D732" s="1356"/>
      <c r="E732" s="1356"/>
      <c r="F732" s="1357"/>
      <c r="G732" s="1364"/>
      <c r="H732" s="1365"/>
      <c r="I732" s="1365"/>
      <c r="J732" s="1366"/>
      <c r="K732" s="1604"/>
      <c r="L732" s="1605"/>
      <c r="M732" s="1605"/>
      <c r="N732" s="1606"/>
      <c r="O732" s="1468"/>
      <c r="P732" s="1469"/>
      <c r="Q732" s="1469"/>
      <c r="R732" s="1469"/>
      <c r="S732" s="1470"/>
      <c r="T732" s="1468"/>
      <c r="U732" s="1469"/>
      <c r="V732" s="1469"/>
      <c r="W732" s="1470"/>
      <c r="X732" s="1358">
        <f t="shared" si="9"/>
        <v>0</v>
      </c>
      <c r="Y732" s="1359"/>
      <c r="Z732" s="1359"/>
      <c r="AA732" s="1359"/>
      <c r="AB732" s="1360"/>
      <c r="AC732" s="1613"/>
      <c r="AD732" s="1614"/>
      <c r="AE732" s="1614"/>
      <c r="AF732" s="1614"/>
      <c r="AG732" s="1615"/>
      <c r="AH732" s="1361" t="str">
        <f t="shared" si="37"/>
        <v/>
      </c>
      <c r="AI732" s="1362"/>
      <c r="AJ732" s="1363"/>
      <c r="AK732" s="1355" t="s">
        <v>591</v>
      </c>
      <c r="AL732" s="1356"/>
      <c r="AM732" s="1356"/>
      <c r="AN732" s="1356"/>
      <c r="AO732" s="1357"/>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1">
        <f t="shared" si="38"/>
        <v>0</v>
      </c>
      <c r="CH732" s="1353"/>
      <c r="CI732" s="1335">
        <f t="shared" si="39"/>
        <v>0</v>
      </c>
      <c r="CJ732" s="1337"/>
      <c r="CK732" s="1351">
        <f t="shared" si="17"/>
        <v>0</v>
      </c>
      <c r="CL732" s="1353"/>
      <c r="CM732" s="1335">
        <f t="shared" si="18"/>
        <v>0</v>
      </c>
      <c r="CN732" s="1337"/>
      <c r="CO732" s="3"/>
      <c r="CP732" s="1332">
        <f t="shared" si="19"/>
        <v>0</v>
      </c>
      <c r="CQ732" s="1333"/>
      <c r="CR732" s="1333"/>
      <c r="CS732" s="1333"/>
      <c r="CT732" s="1334"/>
      <c r="CU732" s="1354">
        <f t="shared" si="20"/>
        <v>0</v>
      </c>
      <c r="CV732" s="1354"/>
      <c r="CW732" s="1354"/>
      <c r="CX732" s="1354"/>
      <c r="CY732" s="1354"/>
      <c r="CZ732" s="1354">
        <f t="shared" si="21"/>
        <v>0</v>
      </c>
      <c r="DA732" s="1354"/>
      <c r="DB732" s="1354"/>
      <c r="DC732" s="1354"/>
      <c r="DD732" s="1354"/>
      <c r="DE732" s="1354">
        <f t="shared" si="22"/>
        <v>0</v>
      </c>
      <c r="DF732" s="1354"/>
      <c r="DG732" s="1354"/>
      <c r="DH732" s="1354"/>
      <c r="DI732" s="1354"/>
      <c r="DJ732" s="1354">
        <f t="shared" si="23"/>
        <v>0</v>
      </c>
      <c r="DK732" s="1354"/>
      <c r="DL732" s="1354"/>
      <c r="DM732" s="1354"/>
      <c r="DN732" s="1354"/>
      <c r="DO732" s="1354">
        <f t="shared" si="24"/>
        <v>0</v>
      </c>
      <c r="DP732" s="1354"/>
      <c r="DQ732" s="1354"/>
      <c r="DR732" s="1354"/>
      <c r="DS732" s="1354"/>
      <c r="DT732" s="6"/>
      <c r="DU732" s="1368">
        <f t="shared" si="25"/>
        <v>0</v>
      </c>
      <c r="DV732" s="1368"/>
      <c r="DW732" s="1368"/>
      <c r="DX732" s="1368"/>
      <c r="DY732" s="1368"/>
      <c r="DZ732" s="1368">
        <f t="shared" si="26"/>
        <v>0</v>
      </c>
      <c r="EA732" s="1368"/>
      <c r="EB732" s="1368"/>
      <c r="EC732" s="1368"/>
      <c r="ED732" s="1368"/>
      <c r="EE732" s="1368">
        <f t="shared" si="27"/>
        <v>0</v>
      </c>
      <c r="EF732" s="1368"/>
      <c r="EG732" s="1368"/>
      <c r="EH732" s="1368"/>
      <c r="EI732" s="1368"/>
      <c r="EJ732" s="1368">
        <f t="shared" si="28"/>
        <v>0</v>
      </c>
      <c r="EK732" s="1368"/>
      <c r="EL732" s="1368"/>
      <c r="EM732" s="1368"/>
      <c r="EN732" s="1368"/>
      <c r="EO732" s="1368">
        <f t="shared" si="29"/>
        <v>0</v>
      </c>
      <c r="EP732" s="1368"/>
      <c r="EQ732" s="1368"/>
      <c r="ER732" s="1368"/>
      <c r="ES732" s="1368"/>
      <c r="ET732" s="1368">
        <f t="shared" si="30"/>
        <v>0</v>
      </c>
      <c r="EU732" s="1368"/>
      <c r="EV732" s="1368"/>
      <c r="EW732" s="1368"/>
      <c r="EX732" s="1368"/>
      <c r="EZ732" s="1351" t="str">
        <f t="shared" si="31"/>
        <v/>
      </c>
      <c r="FA732" s="1352"/>
      <c r="FB732" s="1352"/>
      <c r="FC732" s="1352"/>
      <c r="FD732" s="1353"/>
      <c r="FE732" s="1351" t="str">
        <f t="shared" si="32"/>
        <v/>
      </c>
      <c r="FF732" s="1352"/>
      <c r="FG732" s="1352"/>
      <c r="FH732" s="1352"/>
      <c r="FI732" s="1353"/>
      <c r="FJ732" s="1351" t="str">
        <f t="shared" si="33"/>
        <v/>
      </c>
      <c r="FK732" s="1352"/>
      <c r="FL732" s="1352"/>
      <c r="FM732" s="1352"/>
      <c r="FN732" s="1353"/>
      <c r="FO732" s="1351" t="str">
        <f t="shared" si="34"/>
        <v/>
      </c>
      <c r="FP732" s="1352"/>
      <c r="FQ732" s="1352"/>
      <c r="FR732" s="1352"/>
      <c r="FS732" s="1353"/>
      <c r="FT732" s="1351" t="str">
        <f t="shared" si="35"/>
        <v/>
      </c>
      <c r="FU732" s="1352"/>
      <c r="FV732" s="1352"/>
      <c r="FW732" s="1352"/>
      <c r="FX732" s="1353"/>
      <c r="FY732" s="1351" t="str">
        <f t="shared" si="36"/>
        <v/>
      </c>
      <c r="FZ732" s="1352"/>
      <c r="GA732" s="1352"/>
      <c r="GB732" s="1352"/>
      <c r="GC732" s="1353"/>
    </row>
    <row r="733" spans="1:185" ht="12.95" customHeight="1">
      <c r="B733" s="1355"/>
      <c r="C733" s="1356"/>
      <c r="D733" s="1356"/>
      <c r="E733" s="1356"/>
      <c r="F733" s="1357"/>
      <c r="G733" s="1364"/>
      <c r="H733" s="1365"/>
      <c r="I733" s="1365"/>
      <c r="J733" s="1366"/>
      <c r="K733" s="1604"/>
      <c r="L733" s="1605"/>
      <c r="M733" s="1605"/>
      <c r="N733" s="1606"/>
      <c r="O733" s="1468"/>
      <c r="P733" s="1469"/>
      <c r="Q733" s="1469"/>
      <c r="R733" s="1469"/>
      <c r="S733" s="1470"/>
      <c r="T733" s="1468"/>
      <c r="U733" s="1469"/>
      <c r="V733" s="1469"/>
      <c r="W733" s="1470"/>
      <c r="X733" s="1358">
        <f t="shared" si="9"/>
        <v>0</v>
      </c>
      <c r="Y733" s="1359"/>
      <c r="Z733" s="1359"/>
      <c r="AA733" s="1359"/>
      <c r="AB733" s="1360"/>
      <c r="AC733" s="1613"/>
      <c r="AD733" s="1614"/>
      <c r="AE733" s="1614"/>
      <c r="AF733" s="1614"/>
      <c r="AG733" s="1615"/>
      <c r="AH733" s="1361" t="str">
        <f t="shared" si="37"/>
        <v/>
      </c>
      <c r="AI733" s="1362"/>
      <c r="AJ733" s="1363"/>
      <c r="AK733" s="1355" t="s">
        <v>591</v>
      </c>
      <c r="AL733" s="1356"/>
      <c r="AM733" s="1356"/>
      <c r="AN733" s="1356"/>
      <c r="AO733" s="1357"/>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1">
        <f t="shared" si="38"/>
        <v>0</v>
      </c>
      <c r="CH733" s="1353"/>
      <c r="CI733" s="1335">
        <f t="shared" si="39"/>
        <v>0</v>
      </c>
      <c r="CJ733" s="1337"/>
      <c r="CK733" s="1351">
        <f t="shared" si="17"/>
        <v>0</v>
      </c>
      <c r="CL733" s="1353"/>
      <c r="CM733" s="1335">
        <f t="shared" si="18"/>
        <v>0</v>
      </c>
      <c r="CN733" s="1337"/>
      <c r="CO733" s="3"/>
      <c r="CP733" s="1332">
        <f t="shared" si="19"/>
        <v>0</v>
      </c>
      <c r="CQ733" s="1333"/>
      <c r="CR733" s="1333"/>
      <c r="CS733" s="1333"/>
      <c r="CT733" s="1334"/>
      <c r="CU733" s="1354">
        <f t="shared" si="20"/>
        <v>0</v>
      </c>
      <c r="CV733" s="1354"/>
      <c r="CW733" s="1354"/>
      <c r="CX733" s="1354"/>
      <c r="CY733" s="1354"/>
      <c r="CZ733" s="1354">
        <f t="shared" si="21"/>
        <v>0</v>
      </c>
      <c r="DA733" s="1354"/>
      <c r="DB733" s="1354"/>
      <c r="DC733" s="1354"/>
      <c r="DD733" s="1354"/>
      <c r="DE733" s="1354">
        <f t="shared" si="22"/>
        <v>0</v>
      </c>
      <c r="DF733" s="1354"/>
      <c r="DG733" s="1354"/>
      <c r="DH733" s="1354"/>
      <c r="DI733" s="1354"/>
      <c r="DJ733" s="1354">
        <f t="shared" si="23"/>
        <v>0</v>
      </c>
      <c r="DK733" s="1354"/>
      <c r="DL733" s="1354"/>
      <c r="DM733" s="1354"/>
      <c r="DN733" s="1354"/>
      <c r="DO733" s="1354">
        <f t="shared" si="24"/>
        <v>0</v>
      </c>
      <c r="DP733" s="1354"/>
      <c r="DQ733" s="1354"/>
      <c r="DR733" s="1354"/>
      <c r="DS733" s="1354"/>
      <c r="DT733" s="6"/>
      <c r="DU733" s="1368">
        <f t="shared" si="25"/>
        <v>0</v>
      </c>
      <c r="DV733" s="1368"/>
      <c r="DW733" s="1368"/>
      <c r="DX733" s="1368"/>
      <c r="DY733" s="1368"/>
      <c r="DZ733" s="1368">
        <f t="shared" si="26"/>
        <v>0</v>
      </c>
      <c r="EA733" s="1368"/>
      <c r="EB733" s="1368"/>
      <c r="EC733" s="1368"/>
      <c r="ED733" s="1368"/>
      <c r="EE733" s="1368">
        <f t="shared" si="27"/>
        <v>0</v>
      </c>
      <c r="EF733" s="1368"/>
      <c r="EG733" s="1368"/>
      <c r="EH733" s="1368"/>
      <c r="EI733" s="1368"/>
      <c r="EJ733" s="1368">
        <f t="shared" si="28"/>
        <v>0</v>
      </c>
      <c r="EK733" s="1368"/>
      <c r="EL733" s="1368"/>
      <c r="EM733" s="1368"/>
      <c r="EN733" s="1368"/>
      <c r="EO733" s="1368">
        <f t="shared" si="29"/>
        <v>0</v>
      </c>
      <c r="EP733" s="1368"/>
      <c r="EQ733" s="1368"/>
      <c r="ER733" s="1368"/>
      <c r="ES733" s="1368"/>
      <c r="ET733" s="1368">
        <f t="shared" si="30"/>
        <v>0</v>
      </c>
      <c r="EU733" s="1368"/>
      <c r="EV733" s="1368"/>
      <c r="EW733" s="1368"/>
      <c r="EX733" s="1368"/>
      <c r="EZ733" s="1351" t="str">
        <f t="shared" si="31"/>
        <v/>
      </c>
      <c r="FA733" s="1352"/>
      <c r="FB733" s="1352"/>
      <c r="FC733" s="1352"/>
      <c r="FD733" s="1353"/>
      <c r="FE733" s="1351" t="str">
        <f t="shared" si="32"/>
        <v/>
      </c>
      <c r="FF733" s="1352"/>
      <c r="FG733" s="1352"/>
      <c r="FH733" s="1352"/>
      <c r="FI733" s="1353"/>
      <c r="FJ733" s="1351" t="str">
        <f t="shared" si="33"/>
        <v/>
      </c>
      <c r="FK733" s="1352"/>
      <c r="FL733" s="1352"/>
      <c r="FM733" s="1352"/>
      <c r="FN733" s="1353"/>
      <c r="FO733" s="1351" t="str">
        <f t="shared" si="34"/>
        <v/>
      </c>
      <c r="FP733" s="1352"/>
      <c r="FQ733" s="1352"/>
      <c r="FR733" s="1352"/>
      <c r="FS733" s="1353"/>
      <c r="FT733" s="1351" t="str">
        <f t="shared" si="35"/>
        <v/>
      </c>
      <c r="FU733" s="1352"/>
      <c r="FV733" s="1352"/>
      <c r="FW733" s="1352"/>
      <c r="FX733" s="1353"/>
      <c r="FY733" s="1351" t="str">
        <f t="shared" si="36"/>
        <v/>
      </c>
      <c r="FZ733" s="1352"/>
      <c r="GA733" s="1352"/>
      <c r="GB733" s="1352"/>
      <c r="GC733" s="1353"/>
    </row>
    <row r="734" spans="1:185" ht="12.95" customHeight="1">
      <c r="B734" s="1355"/>
      <c r="C734" s="1356"/>
      <c r="D734" s="1356"/>
      <c r="E734" s="1356"/>
      <c r="F734" s="1357"/>
      <c r="G734" s="1364"/>
      <c r="H734" s="1365"/>
      <c r="I734" s="1365"/>
      <c r="J734" s="1366"/>
      <c r="K734" s="1604"/>
      <c r="L734" s="1605"/>
      <c r="M734" s="1605"/>
      <c r="N734" s="1606"/>
      <c r="O734" s="1468"/>
      <c r="P734" s="1469"/>
      <c r="Q734" s="1469"/>
      <c r="R734" s="1469"/>
      <c r="S734" s="1470"/>
      <c r="T734" s="1468"/>
      <c r="U734" s="1469"/>
      <c r="V734" s="1469"/>
      <c r="W734" s="1470"/>
      <c r="X734" s="1358">
        <f t="shared" si="9"/>
        <v>0</v>
      </c>
      <c r="Y734" s="1359"/>
      <c r="Z734" s="1359"/>
      <c r="AA734" s="1359"/>
      <c r="AB734" s="1360"/>
      <c r="AC734" s="1613"/>
      <c r="AD734" s="1614"/>
      <c r="AE734" s="1614"/>
      <c r="AF734" s="1614"/>
      <c r="AG734" s="1615"/>
      <c r="AH734" s="1361" t="str">
        <f t="shared" si="37"/>
        <v/>
      </c>
      <c r="AI734" s="1362"/>
      <c r="AJ734" s="1363"/>
      <c r="AK734" s="1355" t="s">
        <v>591</v>
      </c>
      <c r="AL734" s="1356"/>
      <c r="AM734" s="1356"/>
      <c r="AN734" s="1356"/>
      <c r="AO734" s="1357"/>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1">
        <f t="shared" si="38"/>
        <v>0</v>
      </c>
      <c r="CH734" s="1353"/>
      <c r="CI734" s="1335">
        <f t="shared" si="39"/>
        <v>0</v>
      </c>
      <c r="CJ734" s="1337"/>
      <c r="CK734" s="1351">
        <f t="shared" si="17"/>
        <v>0</v>
      </c>
      <c r="CL734" s="1353"/>
      <c r="CM734" s="1335">
        <f t="shared" si="18"/>
        <v>0</v>
      </c>
      <c r="CN734" s="1337"/>
      <c r="CO734" s="3"/>
      <c r="CP734" s="1332">
        <f t="shared" si="19"/>
        <v>0</v>
      </c>
      <c r="CQ734" s="1333"/>
      <c r="CR734" s="1333"/>
      <c r="CS734" s="1333"/>
      <c r="CT734" s="1334"/>
      <c r="CU734" s="1354">
        <f t="shared" si="20"/>
        <v>0</v>
      </c>
      <c r="CV734" s="1354"/>
      <c r="CW734" s="1354"/>
      <c r="CX734" s="1354"/>
      <c r="CY734" s="1354"/>
      <c r="CZ734" s="1354">
        <f t="shared" si="21"/>
        <v>0</v>
      </c>
      <c r="DA734" s="1354"/>
      <c r="DB734" s="1354"/>
      <c r="DC734" s="1354"/>
      <c r="DD734" s="1354"/>
      <c r="DE734" s="1354">
        <f t="shared" si="22"/>
        <v>0</v>
      </c>
      <c r="DF734" s="1354"/>
      <c r="DG734" s="1354"/>
      <c r="DH734" s="1354"/>
      <c r="DI734" s="1354"/>
      <c r="DJ734" s="1354">
        <f t="shared" si="23"/>
        <v>0</v>
      </c>
      <c r="DK734" s="1354"/>
      <c r="DL734" s="1354"/>
      <c r="DM734" s="1354"/>
      <c r="DN734" s="1354"/>
      <c r="DO734" s="1354">
        <f t="shared" si="24"/>
        <v>0</v>
      </c>
      <c r="DP734" s="1354"/>
      <c r="DQ734" s="1354"/>
      <c r="DR734" s="1354"/>
      <c r="DS734" s="1354"/>
      <c r="DT734" s="6"/>
      <c r="DU734" s="1368">
        <f t="shared" si="25"/>
        <v>0</v>
      </c>
      <c r="DV734" s="1368"/>
      <c r="DW734" s="1368"/>
      <c r="DX734" s="1368"/>
      <c r="DY734" s="1368"/>
      <c r="DZ734" s="1368">
        <f t="shared" si="26"/>
        <v>0</v>
      </c>
      <c r="EA734" s="1368"/>
      <c r="EB734" s="1368"/>
      <c r="EC734" s="1368"/>
      <c r="ED734" s="1368"/>
      <c r="EE734" s="1368">
        <f t="shared" si="27"/>
        <v>0</v>
      </c>
      <c r="EF734" s="1368"/>
      <c r="EG734" s="1368"/>
      <c r="EH734" s="1368"/>
      <c r="EI734" s="1368"/>
      <c r="EJ734" s="1368">
        <f t="shared" si="28"/>
        <v>0</v>
      </c>
      <c r="EK734" s="1368"/>
      <c r="EL734" s="1368"/>
      <c r="EM734" s="1368"/>
      <c r="EN734" s="1368"/>
      <c r="EO734" s="1368">
        <f t="shared" si="29"/>
        <v>0</v>
      </c>
      <c r="EP734" s="1368"/>
      <c r="EQ734" s="1368"/>
      <c r="ER734" s="1368"/>
      <c r="ES734" s="1368"/>
      <c r="ET734" s="1368">
        <f t="shared" si="30"/>
        <v>0</v>
      </c>
      <c r="EU734" s="1368"/>
      <c r="EV734" s="1368"/>
      <c r="EW734" s="1368"/>
      <c r="EX734" s="1368"/>
      <c r="EZ734" s="1351" t="str">
        <f t="shared" si="31"/>
        <v/>
      </c>
      <c r="FA734" s="1352"/>
      <c r="FB734" s="1352"/>
      <c r="FC734" s="1352"/>
      <c r="FD734" s="1353"/>
      <c r="FE734" s="1351" t="str">
        <f t="shared" si="32"/>
        <v/>
      </c>
      <c r="FF734" s="1352"/>
      <c r="FG734" s="1352"/>
      <c r="FH734" s="1352"/>
      <c r="FI734" s="1353"/>
      <c r="FJ734" s="1351" t="str">
        <f t="shared" si="33"/>
        <v/>
      </c>
      <c r="FK734" s="1352"/>
      <c r="FL734" s="1352"/>
      <c r="FM734" s="1352"/>
      <c r="FN734" s="1353"/>
      <c r="FO734" s="1351" t="str">
        <f t="shared" si="34"/>
        <v/>
      </c>
      <c r="FP734" s="1352"/>
      <c r="FQ734" s="1352"/>
      <c r="FR734" s="1352"/>
      <c r="FS734" s="1353"/>
      <c r="FT734" s="1351" t="str">
        <f t="shared" si="35"/>
        <v/>
      </c>
      <c r="FU734" s="1352"/>
      <c r="FV734" s="1352"/>
      <c r="FW734" s="1352"/>
      <c r="FX734" s="1353"/>
      <c r="FY734" s="1351" t="str">
        <f t="shared" si="36"/>
        <v/>
      </c>
      <c r="FZ734" s="1352"/>
      <c r="GA734" s="1352"/>
      <c r="GB734" s="1352"/>
      <c r="GC734" s="1353"/>
    </row>
    <row r="735" spans="1:185" ht="12.95" customHeight="1">
      <c r="B735" s="1355"/>
      <c r="C735" s="1356"/>
      <c r="D735" s="1356"/>
      <c r="E735" s="1356"/>
      <c r="F735" s="1357"/>
      <c r="G735" s="1364"/>
      <c r="H735" s="1365"/>
      <c r="I735" s="1365"/>
      <c r="J735" s="1366"/>
      <c r="K735" s="1604"/>
      <c r="L735" s="1605"/>
      <c r="M735" s="1605"/>
      <c r="N735" s="1606"/>
      <c r="O735" s="1468"/>
      <c r="P735" s="1469"/>
      <c r="Q735" s="1469"/>
      <c r="R735" s="1469"/>
      <c r="S735" s="1470"/>
      <c r="T735" s="1468"/>
      <c r="U735" s="1469"/>
      <c r="V735" s="1469"/>
      <c r="W735" s="1470"/>
      <c r="X735" s="1358">
        <f t="shared" si="9"/>
        <v>0</v>
      </c>
      <c r="Y735" s="1359"/>
      <c r="Z735" s="1359"/>
      <c r="AA735" s="1359"/>
      <c r="AB735" s="1360"/>
      <c r="AC735" s="1613"/>
      <c r="AD735" s="1614"/>
      <c r="AE735" s="1614"/>
      <c r="AF735" s="1614"/>
      <c r="AG735" s="1615"/>
      <c r="AH735" s="1361" t="str">
        <f t="shared" si="37"/>
        <v/>
      </c>
      <c r="AI735" s="1362"/>
      <c r="AJ735" s="1363"/>
      <c r="AK735" s="1355" t="s">
        <v>591</v>
      </c>
      <c r="AL735" s="1356"/>
      <c r="AM735" s="1356"/>
      <c r="AN735" s="1356"/>
      <c r="AO735" s="1357"/>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1">
        <f t="shared" si="38"/>
        <v>0</v>
      </c>
      <c r="CH735" s="1353"/>
      <c r="CI735" s="1335">
        <f t="shared" si="39"/>
        <v>0</v>
      </c>
      <c r="CJ735" s="1337"/>
      <c r="CK735" s="1351">
        <f t="shared" si="17"/>
        <v>0</v>
      </c>
      <c r="CL735" s="1353"/>
      <c r="CM735" s="1335">
        <f t="shared" si="18"/>
        <v>0</v>
      </c>
      <c r="CN735" s="1337"/>
      <c r="CO735" s="3"/>
      <c r="CP735" s="1332">
        <f t="shared" si="19"/>
        <v>0</v>
      </c>
      <c r="CQ735" s="1333"/>
      <c r="CR735" s="1333"/>
      <c r="CS735" s="1333"/>
      <c r="CT735" s="1334"/>
      <c r="CU735" s="1354">
        <f t="shared" si="20"/>
        <v>0</v>
      </c>
      <c r="CV735" s="1354"/>
      <c r="CW735" s="1354"/>
      <c r="CX735" s="1354"/>
      <c r="CY735" s="1354"/>
      <c r="CZ735" s="1354">
        <f t="shared" si="21"/>
        <v>0</v>
      </c>
      <c r="DA735" s="1354"/>
      <c r="DB735" s="1354"/>
      <c r="DC735" s="1354"/>
      <c r="DD735" s="1354"/>
      <c r="DE735" s="1354">
        <f t="shared" si="22"/>
        <v>0</v>
      </c>
      <c r="DF735" s="1354"/>
      <c r="DG735" s="1354"/>
      <c r="DH735" s="1354"/>
      <c r="DI735" s="1354"/>
      <c r="DJ735" s="1354">
        <f t="shared" si="23"/>
        <v>0</v>
      </c>
      <c r="DK735" s="1354"/>
      <c r="DL735" s="1354"/>
      <c r="DM735" s="1354"/>
      <c r="DN735" s="1354"/>
      <c r="DO735" s="1354">
        <f t="shared" si="24"/>
        <v>0</v>
      </c>
      <c r="DP735" s="1354"/>
      <c r="DQ735" s="1354"/>
      <c r="DR735" s="1354"/>
      <c r="DS735" s="1354"/>
      <c r="DT735" s="6"/>
      <c r="DU735" s="1368">
        <f t="shared" si="25"/>
        <v>0</v>
      </c>
      <c r="DV735" s="1368"/>
      <c r="DW735" s="1368"/>
      <c r="DX735" s="1368"/>
      <c r="DY735" s="1368"/>
      <c r="DZ735" s="1368">
        <f t="shared" si="26"/>
        <v>0</v>
      </c>
      <c r="EA735" s="1368"/>
      <c r="EB735" s="1368"/>
      <c r="EC735" s="1368"/>
      <c r="ED735" s="1368"/>
      <c r="EE735" s="1368">
        <f t="shared" si="27"/>
        <v>0</v>
      </c>
      <c r="EF735" s="1368"/>
      <c r="EG735" s="1368"/>
      <c r="EH735" s="1368"/>
      <c r="EI735" s="1368"/>
      <c r="EJ735" s="1368">
        <f t="shared" si="28"/>
        <v>0</v>
      </c>
      <c r="EK735" s="1368"/>
      <c r="EL735" s="1368"/>
      <c r="EM735" s="1368"/>
      <c r="EN735" s="1368"/>
      <c r="EO735" s="1368">
        <f t="shared" si="29"/>
        <v>0</v>
      </c>
      <c r="EP735" s="1368"/>
      <c r="EQ735" s="1368"/>
      <c r="ER735" s="1368"/>
      <c r="ES735" s="1368"/>
      <c r="ET735" s="1368">
        <f t="shared" si="30"/>
        <v>0</v>
      </c>
      <c r="EU735" s="1368"/>
      <c r="EV735" s="1368"/>
      <c r="EW735" s="1368"/>
      <c r="EX735" s="1368"/>
      <c r="EZ735" s="1351" t="str">
        <f t="shared" si="31"/>
        <v/>
      </c>
      <c r="FA735" s="1352"/>
      <c r="FB735" s="1352"/>
      <c r="FC735" s="1352"/>
      <c r="FD735" s="1353"/>
      <c r="FE735" s="1351" t="str">
        <f t="shared" si="32"/>
        <v/>
      </c>
      <c r="FF735" s="1352"/>
      <c r="FG735" s="1352"/>
      <c r="FH735" s="1352"/>
      <c r="FI735" s="1353"/>
      <c r="FJ735" s="1351" t="str">
        <f t="shared" si="33"/>
        <v/>
      </c>
      <c r="FK735" s="1352"/>
      <c r="FL735" s="1352"/>
      <c r="FM735" s="1352"/>
      <c r="FN735" s="1353"/>
      <c r="FO735" s="1351" t="str">
        <f t="shared" si="34"/>
        <v/>
      </c>
      <c r="FP735" s="1352"/>
      <c r="FQ735" s="1352"/>
      <c r="FR735" s="1352"/>
      <c r="FS735" s="1353"/>
      <c r="FT735" s="1351" t="str">
        <f t="shared" si="35"/>
        <v/>
      </c>
      <c r="FU735" s="1352"/>
      <c r="FV735" s="1352"/>
      <c r="FW735" s="1352"/>
      <c r="FX735" s="1353"/>
      <c r="FY735" s="1351" t="str">
        <f t="shared" si="36"/>
        <v/>
      </c>
      <c r="FZ735" s="1352"/>
      <c r="GA735" s="1352"/>
      <c r="GB735" s="1352"/>
      <c r="GC735" s="1353"/>
    </row>
    <row r="736" spans="1:185" ht="12.95" customHeight="1">
      <c r="B736" s="1355"/>
      <c r="C736" s="1356"/>
      <c r="D736" s="1356"/>
      <c r="E736" s="1356"/>
      <c r="F736" s="1357"/>
      <c r="G736" s="1364"/>
      <c r="H736" s="1365"/>
      <c r="I736" s="1365"/>
      <c r="J736" s="1366"/>
      <c r="K736" s="1604"/>
      <c r="L736" s="1605"/>
      <c r="M736" s="1605"/>
      <c r="N736" s="1606"/>
      <c r="O736" s="1468"/>
      <c r="P736" s="1469"/>
      <c r="Q736" s="1469"/>
      <c r="R736" s="1469"/>
      <c r="S736" s="1470"/>
      <c r="T736" s="1468"/>
      <c r="U736" s="1469"/>
      <c r="V736" s="1469"/>
      <c r="W736" s="1470"/>
      <c r="X736" s="1358">
        <f t="shared" si="9"/>
        <v>0</v>
      </c>
      <c r="Y736" s="1359"/>
      <c r="Z736" s="1359"/>
      <c r="AA736" s="1359"/>
      <c r="AB736" s="1360"/>
      <c r="AC736" s="1613"/>
      <c r="AD736" s="1614"/>
      <c r="AE736" s="1614"/>
      <c r="AF736" s="1614"/>
      <c r="AG736" s="1615"/>
      <c r="AH736" s="1361" t="str">
        <f t="shared" si="37"/>
        <v/>
      </c>
      <c r="AI736" s="1362"/>
      <c r="AJ736" s="1363"/>
      <c r="AK736" s="1355" t="s">
        <v>591</v>
      </c>
      <c r="AL736" s="1356"/>
      <c r="AM736" s="1356"/>
      <c r="AN736" s="1356"/>
      <c r="AO736" s="1357"/>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1">
        <f t="shared" si="38"/>
        <v>0</v>
      </c>
      <c r="CH736" s="1353"/>
      <c r="CI736" s="1335">
        <f t="shared" si="39"/>
        <v>0</v>
      </c>
      <c r="CJ736" s="1337"/>
      <c r="CK736" s="1351">
        <f t="shared" si="17"/>
        <v>0</v>
      </c>
      <c r="CL736" s="1353"/>
      <c r="CM736" s="1335">
        <f t="shared" si="18"/>
        <v>0</v>
      </c>
      <c r="CN736" s="1337"/>
      <c r="CO736" s="3"/>
      <c r="CP736" s="1332">
        <f t="shared" si="19"/>
        <v>0</v>
      </c>
      <c r="CQ736" s="1333"/>
      <c r="CR736" s="1333"/>
      <c r="CS736" s="1333"/>
      <c r="CT736" s="1334"/>
      <c r="CU736" s="1354">
        <f t="shared" si="20"/>
        <v>0</v>
      </c>
      <c r="CV736" s="1354"/>
      <c r="CW736" s="1354"/>
      <c r="CX736" s="1354"/>
      <c r="CY736" s="1354"/>
      <c r="CZ736" s="1354">
        <f t="shared" si="21"/>
        <v>0</v>
      </c>
      <c r="DA736" s="1354"/>
      <c r="DB736" s="1354"/>
      <c r="DC736" s="1354"/>
      <c r="DD736" s="1354"/>
      <c r="DE736" s="1354">
        <f t="shared" si="22"/>
        <v>0</v>
      </c>
      <c r="DF736" s="1354"/>
      <c r="DG736" s="1354"/>
      <c r="DH736" s="1354"/>
      <c r="DI736" s="1354"/>
      <c r="DJ736" s="1354">
        <f t="shared" si="23"/>
        <v>0</v>
      </c>
      <c r="DK736" s="1354"/>
      <c r="DL736" s="1354"/>
      <c r="DM736" s="1354"/>
      <c r="DN736" s="1354"/>
      <c r="DO736" s="1354">
        <f t="shared" si="24"/>
        <v>0</v>
      </c>
      <c r="DP736" s="1354"/>
      <c r="DQ736" s="1354"/>
      <c r="DR736" s="1354"/>
      <c r="DS736" s="1354"/>
      <c r="DT736" s="6"/>
      <c r="DU736" s="1368">
        <f t="shared" si="25"/>
        <v>0</v>
      </c>
      <c r="DV736" s="1368"/>
      <c r="DW736" s="1368"/>
      <c r="DX736" s="1368"/>
      <c r="DY736" s="1368"/>
      <c r="DZ736" s="1368">
        <f t="shared" si="26"/>
        <v>0</v>
      </c>
      <c r="EA736" s="1368"/>
      <c r="EB736" s="1368"/>
      <c r="EC736" s="1368"/>
      <c r="ED736" s="1368"/>
      <c r="EE736" s="1368">
        <f t="shared" si="27"/>
        <v>0</v>
      </c>
      <c r="EF736" s="1368"/>
      <c r="EG736" s="1368"/>
      <c r="EH736" s="1368"/>
      <c r="EI736" s="1368"/>
      <c r="EJ736" s="1368">
        <f t="shared" si="28"/>
        <v>0</v>
      </c>
      <c r="EK736" s="1368"/>
      <c r="EL736" s="1368"/>
      <c r="EM736" s="1368"/>
      <c r="EN736" s="1368"/>
      <c r="EO736" s="1368">
        <f t="shared" si="29"/>
        <v>0</v>
      </c>
      <c r="EP736" s="1368"/>
      <c r="EQ736" s="1368"/>
      <c r="ER736" s="1368"/>
      <c r="ES736" s="1368"/>
      <c r="ET736" s="1368">
        <f t="shared" si="30"/>
        <v>0</v>
      </c>
      <c r="EU736" s="1368"/>
      <c r="EV736" s="1368"/>
      <c r="EW736" s="1368"/>
      <c r="EX736" s="1368"/>
      <c r="EZ736" s="1351" t="str">
        <f t="shared" si="31"/>
        <v/>
      </c>
      <c r="FA736" s="1352"/>
      <c r="FB736" s="1352"/>
      <c r="FC736" s="1352"/>
      <c r="FD736" s="1353"/>
      <c r="FE736" s="1351" t="str">
        <f t="shared" si="32"/>
        <v/>
      </c>
      <c r="FF736" s="1352"/>
      <c r="FG736" s="1352"/>
      <c r="FH736" s="1352"/>
      <c r="FI736" s="1353"/>
      <c r="FJ736" s="1351" t="str">
        <f t="shared" si="33"/>
        <v/>
      </c>
      <c r="FK736" s="1352"/>
      <c r="FL736" s="1352"/>
      <c r="FM736" s="1352"/>
      <c r="FN736" s="1353"/>
      <c r="FO736" s="1351" t="str">
        <f t="shared" si="34"/>
        <v/>
      </c>
      <c r="FP736" s="1352"/>
      <c r="FQ736" s="1352"/>
      <c r="FR736" s="1352"/>
      <c r="FS736" s="1353"/>
      <c r="FT736" s="1351" t="str">
        <f t="shared" si="35"/>
        <v/>
      </c>
      <c r="FU736" s="1352"/>
      <c r="FV736" s="1352"/>
      <c r="FW736" s="1352"/>
      <c r="FX736" s="1353"/>
      <c r="FY736" s="1351" t="str">
        <f t="shared" si="36"/>
        <v/>
      </c>
      <c r="FZ736" s="1352"/>
      <c r="GA736" s="1352"/>
      <c r="GB736" s="1352"/>
      <c r="GC736" s="1353"/>
    </row>
    <row r="737" spans="1:185" ht="12.95" customHeight="1">
      <c r="B737" s="1355"/>
      <c r="C737" s="1356"/>
      <c r="D737" s="1356"/>
      <c r="E737" s="1356"/>
      <c r="F737" s="1357"/>
      <c r="G737" s="1364"/>
      <c r="H737" s="1365"/>
      <c r="I737" s="1365"/>
      <c r="J737" s="1366"/>
      <c r="K737" s="1604"/>
      <c r="L737" s="1605"/>
      <c r="M737" s="1605"/>
      <c r="N737" s="1606"/>
      <c r="O737" s="1468"/>
      <c r="P737" s="1469"/>
      <c r="Q737" s="1469"/>
      <c r="R737" s="1469"/>
      <c r="S737" s="1470"/>
      <c r="T737" s="1468"/>
      <c r="U737" s="1469"/>
      <c r="V737" s="1469"/>
      <c r="W737" s="1470"/>
      <c r="X737" s="1358">
        <f t="shared" si="9"/>
        <v>0</v>
      </c>
      <c r="Y737" s="1359"/>
      <c r="Z737" s="1359"/>
      <c r="AA737" s="1359"/>
      <c r="AB737" s="1360"/>
      <c r="AC737" s="1613"/>
      <c r="AD737" s="1614"/>
      <c r="AE737" s="1614"/>
      <c r="AF737" s="1614"/>
      <c r="AG737" s="1615"/>
      <c r="AH737" s="1361" t="str">
        <f t="shared" si="37"/>
        <v/>
      </c>
      <c r="AI737" s="1362"/>
      <c r="AJ737" s="1363"/>
      <c r="AK737" s="1355" t="s">
        <v>591</v>
      </c>
      <c r="AL737" s="1356"/>
      <c r="AM737" s="1356"/>
      <c r="AN737" s="1356"/>
      <c r="AO737" s="1357"/>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1">
        <f t="shared" si="38"/>
        <v>0</v>
      </c>
      <c r="CH737" s="1353"/>
      <c r="CI737" s="1335">
        <f t="shared" si="39"/>
        <v>0</v>
      </c>
      <c r="CJ737" s="1337"/>
      <c r="CK737" s="1351">
        <f t="shared" si="17"/>
        <v>0</v>
      </c>
      <c r="CL737" s="1353"/>
      <c r="CM737" s="1335">
        <f t="shared" si="18"/>
        <v>0</v>
      </c>
      <c r="CN737" s="1337"/>
      <c r="CO737" s="3"/>
      <c r="CP737" s="1332">
        <f t="shared" si="19"/>
        <v>0</v>
      </c>
      <c r="CQ737" s="1333"/>
      <c r="CR737" s="1333"/>
      <c r="CS737" s="1333"/>
      <c r="CT737" s="1334"/>
      <c r="CU737" s="1354">
        <f t="shared" si="20"/>
        <v>0</v>
      </c>
      <c r="CV737" s="1354"/>
      <c r="CW737" s="1354"/>
      <c r="CX737" s="1354"/>
      <c r="CY737" s="1354"/>
      <c r="CZ737" s="1354">
        <f t="shared" si="21"/>
        <v>0</v>
      </c>
      <c r="DA737" s="1354"/>
      <c r="DB737" s="1354"/>
      <c r="DC737" s="1354"/>
      <c r="DD737" s="1354"/>
      <c r="DE737" s="1354">
        <f t="shared" si="22"/>
        <v>0</v>
      </c>
      <c r="DF737" s="1354"/>
      <c r="DG737" s="1354"/>
      <c r="DH737" s="1354"/>
      <c r="DI737" s="1354"/>
      <c r="DJ737" s="1354">
        <f t="shared" si="23"/>
        <v>0</v>
      </c>
      <c r="DK737" s="1354"/>
      <c r="DL737" s="1354"/>
      <c r="DM737" s="1354"/>
      <c r="DN737" s="1354"/>
      <c r="DO737" s="1354">
        <f t="shared" si="24"/>
        <v>0</v>
      </c>
      <c r="DP737" s="1354"/>
      <c r="DQ737" s="1354"/>
      <c r="DR737" s="1354"/>
      <c r="DS737" s="1354"/>
      <c r="DT737" s="6"/>
      <c r="DU737" s="1368">
        <f t="shared" si="25"/>
        <v>0</v>
      </c>
      <c r="DV737" s="1368"/>
      <c r="DW737" s="1368"/>
      <c r="DX737" s="1368"/>
      <c r="DY737" s="1368"/>
      <c r="DZ737" s="1368">
        <f t="shared" si="26"/>
        <v>0</v>
      </c>
      <c r="EA737" s="1368"/>
      <c r="EB737" s="1368"/>
      <c r="EC737" s="1368"/>
      <c r="ED737" s="1368"/>
      <c r="EE737" s="1368">
        <f t="shared" si="27"/>
        <v>0</v>
      </c>
      <c r="EF737" s="1368"/>
      <c r="EG737" s="1368"/>
      <c r="EH737" s="1368"/>
      <c r="EI737" s="1368"/>
      <c r="EJ737" s="1368">
        <f t="shared" si="28"/>
        <v>0</v>
      </c>
      <c r="EK737" s="1368"/>
      <c r="EL737" s="1368"/>
      <c r="EM737" s="1368"/>
      <c r="EN737" s="1368"/>
      <c r="EO737" s="1368">
        <f t="shared" si="29"/>
        <v>0</v>
      </c>
      <c r="EP737" s="1368"/>
      <c r="EQ737" s="1368"/>
      <c r="ER737" s="1368"/>
      <c r="ES737" s="1368"/>
      <c r="ET737" s="1368">
        <f t="shared" si="30"/>
        <v>0</v>
      </c>
      <c r="EU737" s="1368"/>
      <c r="EV737" s="1368"/>
      <c r="EW737" s="1368"/>
      <c r="EX737" s="1368"/>
      <c r="EZ737" s="1351" t="str">
        <f t="shared" si="31"/>
        <v/>
      </c>
      <c r="FA737" s="1352"/>
      <c r="FB737" s="1352"/>
      <c r="FC737" s="1352"/>
      <c r="FD737" s="1353"/>
      <c r="FE737" s="1351" t="str">
        <f t="shared" si="32"/>
        <v/>
      </c>
      <c r="FF737" s="1352"/>
      <c r="FG737" s="1352"/>
      <c r="FH737" s="1352"/>
      <c r="FI737" s="1353"/>
      <c r="FJ737" s="1351" t="str">
        <f t="shared" si="33"/>
        <v/>
      </c>
      <c r="FK737" s="1352"/>
      <c r="FL737" s="1352"/>
      <c r="FM737" s="1352"/>
      <c r="FN737" s="1353"/>
      <c r="FO737" s="1351" t="str">
        <f t="shared" si="34"/>
        <v/>
      </c>
      <c r="FP737" s="1352"/>
      <c r="FQ737" s="1352"/>
      <c r="FR737" s="1352"/>
      <c r="FS737" s="1353"/>
      <c r="FT737" s="1351" t="str">
        <f t="shared" si="35"/>
        <v/>
      </c>
      <c r="FU737" s="1352"/>
      <c r="FV737" s="1352"/>
      <c r="FW737" s="1352"/>
      <c r="FX737" s="1353"/>
      <c r="FY737" s="1351" t="str">
        <f t="shared" si="36"/>
        <v/>
      </c>
      <c r="FZ737" s="1352"/>
      <c r="GA737" s="1352"/>
      <c r="GB737" s="1352"/>
      <c r="GC737" s="1353"/>
    </row>
    <row r="738" spans="1:185" ht="12.95" customHeight="1">
      <c r="B738" s="1355"/>
      <c r="C738" s="1356"/>
      <c r="D738" s="1356"/>
      <c r="E738" s="1356"/>
      <c r="F738" s="1357"/>
      <c r="G738" s="1364"/>
      <c r="H738" s="1365"/>
      <c r="I738" s="1365"/>
      <c r="J738" s="1366"/>
      <c r="K738" s="1604"/>
      <c r="L738" s="1605"/>
      <c r="M738" s="1605"/>
      <c r="N738" s="1606"/>
      <c r="O738" s="1468"/>
      <c r="P738" s="1469"/>
      <c r="Q738" s="1469"/>
      <c r="R738" s="1469"/>
      <c r="S738" s="1470"/>
      <c r="T738" s="1468"/>
      <c r="U738" s="1469"/>
      <c r="V738" s="1469"/>
      <c r="W738" s="1470"/>
      <c r="X738" s="1358">
        <f t="shared" si="9"/>
        <v>0</v>
      </c>
      <c r="Y738" s="1359"/>
      <c r="Z738" s="1359"/>
      <c r="AA738" s="1359"/>
      <c r="AB738" s="1360"/>
      <c r="AC738" s="1613"/>
      <c r="AD738" s="1614"/>
      <c r="AE738" s="1614"/>
      <c r="AF738" s="1614"/>
      <c r="AG738" s="1615"/>
      <c r="AH738" s="1361" t="str">
        <f t="shared" si="37"/>
        <v/>
      </c>
      <c r="AI738" s="1362"/>
      <c r="AJ738" s="1363"/>
      <c r="AK738" s="1355" t="s">
        <v>591</v>
      </c>
      <c r="AL738" s="1356"/>
      <c r="AM738" s="1356"/>
      <c r="AN738" s="1356"/>
      <c r="AO738" s="1357"/>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1">
        <f t="shared" si="38"/>
        <v>0</v>
      </c>
      <c r="CH738" s="1353"/>
      <c r="CI738" s="1335">
        <f t="shared" si="39"/>
        <v>0</v>
      </c>
      <c r="CJ738" s="1337"/>
      <c r="CK738" s="1351">
        <f t="shared" si="17"/>
        <v>0</v>
      </c>
      <c r="CL738" s="1353"/>
      <c r="CM738" s="1335">
        <f t="shared" si="18"/>
        <v>0</v>
      </c>
      <c r="CN738" s="1337"/>
      <c r="CO738" s="3"/>
      <c r="CP738" s="1332">
        <f t="shared" si="19"/>
        <v>0</v>
      </c>
      <c r="CQ738" s="1333"/>
      <c r="CR738" s="1333"/>
      <c r="CS738" s="1333"/>
      <c r="CT738" s="1334"/>
      <c r="CU738" s="1354">
        <f t="shared" si="20"/>
        <v>0</v>
      </c>
      <c r="CV738" s="1354"/>
      <c r="CW738" s="1354"/>
      <c r="CX738" s="1354"/>
      <c r="CY738" s="1354"/>
      <c r="CZ738" s="1354">
        <f t="shared" si="21"/>
        <v>0</v>
      </c>
      <c r="DA738" s="1354"/>
      <c r="DB738" s="1354"/>
      <c r="DC738" s="1354"/>
      <c r="DD738" s="1354"/>
      <c r="DE738" s="1354">
        <f t="shared" si="22"/>
        <v>0</v>
      </c>
      <c r="DF738" s="1354"/>
      <c r="DG738" s="1354"/>
      <c r="DH738" s="1354"/>
      <c r="DI738" s="1354"/>
      <c r="DJ738" s="1354">
        <f t="shared" si="23"/>
        <v>0</v>
      </c>
      <c r="DK738" s="1354"/>
      <c r="DL738" s="1354"/>
      <c r="DM738" s="1354"/>
      <c r="DN738" s="1354"/>
      <c r="DO738" s="1354">
        <f t="shared" si="24"/>
        <v>0</v>
      </c>
      <c r="DP738" s="1354"/>
      <c r="DQ738" s="1354"/>
      <c r="DR738" s="1354"/>
      <c r="DS738" s="1354"/>
      <c r="DT738" s="6"/>
      <c r="DU738" s="1368">
        <f t="shared" si="25"/>
        <v>0</v>
      </c>
      <c r="DV738" s="1368"/>
      <c r="DW738" s="1368"/>
      <c r="DX738" s="1368"/>
      <c r="DY738" s="1368"/>
      <c r="DZ738" s="1368">
        <f t="shared" si="26"/>
        <v>0</v>
      </c>
      <c r="EA738" s="1368"/>
      <c r="EB738" s="1368"/>
      <c r="EC738" s="1368"/>
      <c r="ED738" s="1368"/>
      <c r="EE738" s="1368">
        <f t="shared" si="27"/>
        <v>0</v>
      </c>
      <c r="EF738" s="1368"/>
      <c r="EG738" s="1368"/>
      <c r="EH738" s="1368"/>
      <c r="EI738" s="1368"/>
      <c r="EJ738" s="1368">
        <f t="shared" si="28"/>
        <v>0</v>
      </c>
      <c r="EK738" s="1368"/>
      <c r="EL738" s="1368"/>
      <c r="EM738" s="1368"/>
      <c r="EN738" s="1368"/>
      <c r="EO738" s="1368">
        <f t="shared" si="29"/>
        <v>0</v>
      </c>
      <c r="EP738" s="1368"/>
      <c r="EQ738" s="1368"/>
      <c r="ER738" s="1368"/>
      <c r="ES738" s="1368"/>
      <c r="ET738" s="1368">
        <f t="shared" si="30"/>
        <v>0</v>
      </c>
      <c r="EU738" s="1368"/>
      <c r="EV738" s="1368"/>
      <c r="EW738" s="1368"/>
      <c r="EX738" s="1368"/>
      <c r="EZ738" s="1351" t="str">
        <f t="shared" si="31"/>
        <v/>
      </c>
      <c r="FA738" s="1352"/>
      <c r="FB738" s="1352"/>
      <c r="FC738" s="1352"/>
      <c r="FD738" s="1353"/>
      <c r="FE738" s="1351" t="str">
        <f t="shared" si="32"/>
        <v/>
      </c>
      <c r="FF738" s="1352"/>
      <c r="FG738" s="1352"/>
      <c r="FH738" s="1352"/>
      <c r="FI738" s="1353"/>
      <c r="FJ738" s="1351" t="str">
        <f t="shared" si="33"/>
        <v/>
      </c>
      <c r="FK738" s="1352"/>
      <c r="FL738" s="1352"/>
      <c r="FM738" s="1352"/>
      <c r="FN738" s="1353"/>
      <c r="FO738" s="1351" t="str">
        <f t="shared" si="34"/>
        <v/>
      </c>
      <c r="FP738" s="1352"/>
      <c r="FQ738" s="1352"/>
      <c r="FR738" s="1352"/>
      <c r="FS738" s="1353"/>
      <c r="FT738" s="1351" t="str">
        <f t="shared" si="35"/>
        <v/>
      </c>
      <c r="FU738" s="1352"/>
      <c r="FV738" s="1352"/>
      <c r="FW738" s="1352"/>
      <c r="FX738" s="1353"/>
      <c r="FY738" s="1351" t="str">
        <f t="shared" si="36"/>
        <v/>
      </c>
      <c r="FZ738" s="1352"/>
      <c r="GA738" s="1352"/>
      <c r="GB738" s="1352"/>
      <c r="GC738" s="1353"/>
    </row>
    <row r="739" spans="1:185" ht="12.95" customHeight="1">
      <c r="B739" s="1355"/>
      <c r="C739" s="1356"/>
      <c r="D739" s="1356"/>
      <c r="E739" s="1356"/>
      <c r="F739" s="1357"/>
      <c r="G739" s="1364"/>
      <c r="H739" s="1365"/>
      <c r="I739" s="1365"/>
      <c r="J739" s="1366"/>
      <c r="K739" s="1604"/>
      <c r="L739" s="1605"/>
      <c r="M739" s="1605"/>
      <c r="N739" s="1606"/>
      <c r="O739" s="1468"/>
      <c r="P739" s="1469"/>
      <c r="Q739" s="1469"/>
      <c r="R739" s="1469"/>
      <c r="S739" s="1470"/>
      <c r="T739" s="1468"/>
      <c r="U739" s="1469"/>
      <c r="V739" s="1469"/>
      <c r="W739" s="1470"/>
      <c r="X739" s="1358">
        <f t="shared" si="9"/>
        <v>0</v>
      </c>
      <c r="Y739" s="1359"/>
      <c r="Z739" s="1359"/>
      <c r="AA739" s="1359"/>
      <c r="AB739" s="1360"/>
      <c r="AC739" s="1613"/>
      <c r="AD739" s="1614"/>
      <c r="AE739" s="1614"/>
      <c r="AF739" s="1614"/>
      <c r="AG739" s="1615"/>
      <c r="AH739" s="1361" t="str">
        <f t="shared" si="37"/>
        <v/>
      </c>
      <c r="AI739" s="1362"/>
      <c r="AJ739" s="1363"/>
      <c r="AK739" s="1355" t="s">
        <v>591</v>
      </c>
      <c r="AL739" s="1356"/>
      <c r="AM739" s="1356"/>
      <c r="AN739" s="1356"/>
      <c r="AO739" s="1357"/>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1">
        <f t="shared" si="38"/>
        <v>0</v>
      </c>
      <c r="CH739" s="1353"/>
      <c r="CI739" s="1335">
        <f t="shared" si="39"/>
        <v>0</v>
      </c>
      <c r="CJ739" s="1337"/>
      <c r="CK739" s="1351">
        <f t="shared" si="17"/>
        <v>0</v>
      </c>
      <c r="CL739" s="1353"/>
      <c r="CM739" s="1335">
        <f t="shared" si="18"/>
        <v>0</v>
      </c>
      <c r="CN739" s="1337"/>
      <c r="CO739" s="3"/>
      <c r="CP739" s="1332">
        <f t="shared" si="19"/>
        <v>0</v>
      </c>
      <c r="CQ739" s="1333"/>
      <c r="CR739" s="1333"/>
      <c r="CS739" s="1333"/>
      <c r="CT739" s="1334"/>
      <c r="CU739" s="1354">
        <f t="shared" si="20"/>
        <v>0</v>
      </c>
      <c r="CV739" s="1354"/>
      <c r="CW739" s="1354"/>
      <c r="CX739" s="1354"/>
      <c r="CY739" s="1354"/>
      <c r="CZ739" s="1354">
        <f t="shared" si="21"/>
        <v>0</v>
      </c>
      <c r="DA739" s="1354"/>
      <c r="DB739" s="1354"/>
      <c r="DC739" s="1354"/>
      <c r="DD739" s="1354"/>
      <c r="DE739" s="1354">
        <f t="shared" si="22"/>
        <v>0</v>
      </c>
      <c r="DF739" s="1354"/>
      <c r="DG739" s="1354"/>
      <c r="DH739" s="1354"/>
      <c r="DI739" s="1354"/>
      <c r="DJ739" s="1354">
        <f t="shared" si="23"/>
        <v>0</v>
      </c>
      <c r="DK739" s="1354"/>
      <c r="DL739" s="1354"/>
      <c r="DM739" s="1354"/>
      <c r="DN739" s="1354"/>
      <c r="DO739" s="1354">
        <f t="shared" si="24"/>
        <v>0</v>
      </c>
      <c r="DP739" s="1354"/>
      <c r="DQ739" s="1354"/>
      <c r="DR739" s="1354"/>
      <c r="DS739" s="1354"/>
      <c r="DT739" s="6"/>
      <c r="DU739" s="1368">
        <f t="shared" si="25"/>
        <v>0</v>
      </c>
      <c r="DV739" s="1368"/>
      <c r="DW739" s="1368"/>
      <c r="DX739" s="1368"/>
      <c r="DY739" s="1368"/>
      <c r="DZ739" s="1368">
        <f t="shared" si="26"/>
        <v>0</v>
      </c>
      <c r="EA739" s="1368"/>
      <c r="EB739" s="1368"/>
      <c r="EC739" s="1368"/>
      <c r="ED739" s="1368"/>
      <c r="EE739" s="1368">
        <f t="shared" si="27"/>
        <v>0</v>
      </c>
      <c r="EF739" s="1368"/>
      <c r="EG739" s="1368"/>
      <c r="EH739" s="1368"/>
      <c r="EI739" s="1368"/>
      <c r="EJ739" s="1368">
        <f t="shared" si="28"/>
        <v>0</v>
      </c>
      <c r="EK739" s="1368"/>
      <c r="EL739" s="1368"/>
      <c r="EM739" s="1368"/>
      <c r="EN739" s="1368"/>
      <c r="EO739" s="1368">
        <f t="shared" si="29"/>
        <v>0</v>
      </c>
      <c r="EP739" s="1368"/>
      <c r="EQ739" s="1368"/>
      <c r="ER739" s="1368"/>
      <c r="ES739" s="1368"/>
      <c r="ET739" s="1368">
        <f t="shared" si="30"/>
        <v>0</v>
      </c>
      <c r="EU739" s="1368"/>
      <c r="EV739" s="1368"/>
      <c r="EW739" s="1368"/>
      <c r="EX739" s="1368"/>
      <c r="EZ739" s="1351" t="str">
        <f t="shared" si="31"/>
        <v/>
      </c>
      <c r="FA739" s="1352"/>
      <c r="FB739" s="1352"/>
      <c r="FC739" s="1352"/>
      <c r="FD739" s="1353"/>
      <c r="FE739" s="1351" t="str">
        <f t="shared" si="32"/>
        <v/>
      </c>
      <c r="FF739" s="1352"/>
      <c r="FG739" s="1352"/>
      <c r="FH739" s="1352"/>
      <c r="FI739" s="1353"/>
      <c r="FJ739" s="1351" t="str">
        <f t="shared" si="33"/>
        <v/>
      </c>
      <c r="FK739" s="1352"/>
      <c r="FL739" s="1352"/>
      <c r="FM739" s="1352"/>
      <c r="FN739" s="1353"/>
      <c r="FO739" s="1351" t="str">
        <f t="shared" si="34"/>
        <v/>
      </c>
      <c r="FP739" s="1352"/>
      <c r="FQ739" s="1352"/>
      <c r="FR739" s="1352"/>
      <c r="FS739" s="1353"/>
      <c r="FT739" s="1351" t="str">
        <f t="shared" si="35"/>
        <v/>
      </c>
      <c r="FU739" s="1352"/>
      <c r="FV739" s="1352"/>
      <c r="FW739" s="1352"/>
      <c r="FX739" s="1353"/>
      <c r="FY739" s="1351" t="str">
        <f t="shared" si="36"/>
        <v/>
      </c>
      <c r="FZ739" s="1352"/>
      <c r="GA739" s="1352"/>
      <c r="GB739" s="1352"/>
      <c r="GC739" s="1353"/>
    </row>
    <row r="740" spans="1:185" ht="12.95" customHeight="1">
      <c r="B740" s="1355"/>
      <c r="C740" s="1356"/>
      <c r="D740" s="1356"/>
      <c r="E740" s="1356"/>
      <c r="F740" s="1357"/>
      <c r="G740" s="1364"/>
      <c r="H740" s="1365"/>
      <c r="I740" s="1365"/>
      <c r="J740" s="1366"/>
      <c r="K740" s="1604"/>
      <c r="L740" s="1605"/>
      <c r="M740" s="1605"/>
      <c r="N740" s="1606"/>
      <c r="O740" s="1468"/>
      <c r="P740" s="1469"/>
      <c r="Q740" s="1469"/>
      <c r="R740" s="1469"/>
      <c r="S740" s="1470"/>
      <c r="T740" s="1468"/>
      <c r="U740" s="1469"/>
      <c r="V740" s="1469"/>
      <c r="W740" s="1470"/>
      <c r="X740" s="1358">
        <f t="shared" si="9"/>
        <v>0</v>
      </c>
      <c r="Y740" s="1359"/>
      <c r="Z740" s="1359"/>
      <c r="AA740" s="1359"/>
      <c r="AB740" s="1360"/>
      <c r="AC740" s="1613"/>
      <c r="AD740" s="1614"/>
      <c r="AE740" s="1614"/>
      <c r="AF740" s="1614"/>
      <c r="AG740" s="1615"/>
      <c r="AH740" s="1361" t="str">
        <f t="shared" si="37"/>
        <v/>
      </c>
      <c r="AI740" s="1362"/>
      <c r="AJ740" s="1363"/>
      <c r="AK740" s="1355" t="s">
        <v>591</v>
      </c>
      <c r="AL740" s="1356"/>
      <c r="AM740" s="1356"/>
      <c r="AN740" s="1356"/>
      <c r="AO740" s="1357"/>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1">
        <f t="shared" si="38"/>
        <v>0</v>
      </c>
      <c r="CH740" s="1353"/>
      <c r="CI740" s="1335">
        <f t="shared" si="39"/>
        <v>0</v>
      </c>
      <c r="CJ740" s="1337"/>
      <c r="CK740" s="1351">
        <f t="shared" si="17"/>
        <v>0</v>
      </c>
      <c r="CL740" s="1353"/>
      <c r="CM740" s="1335">
        <f t="shared" si="18"/>
        <v>0</v>
      </c>
      <c r="CN740" s="1337"/>
      <c r="CO740" s="3"/>
      <c r="CP740" s="1332">
        <f t="shared" si="19"/>
        <v>0</v>
      </c>
      <c r="CQ740" s="1333"/>
      <c r="CR740" s="1333"/>
      <c r="CS740" s="1333"/>
      <c r="CT740" s="1334"/>
      <c r="CU740" s="1354">
        <f t="shared" si="20"/>
        <v>0</v>
      </c>
      <c r="CV740" s="1354"/>
      <c r="CW740" s="1354"/>
      <c r="CX740" s="1354"/>
      <c r="CY740" s="1354"/>
      <c r="CZ740" s="1354">
        <f t="shared" si="21"/>
        <v>0</v>
      </c>
      <c r="DA740" s="1354"/>
      <c r="DB740" s="1354"/>
      <c r="DC740" s="1354"/>
      <c r="DD740" s="1354"/>
      <c r="DE740" s="1354">
        <f t="shared" si="22"/>
        <v>0</v>
      </c>
      <c r="DF740" s="1354"/>
      <c r="DG740" s="1354"/>
      <c r="DH740" s="1354"/>
      <c r="DI740" s="1354"/>
      <c r="DJ740" s="1354">
        <f t="shared" si="23"/>
        <v>0</v>
      </c>
      <c r="DK740" s="1354"/>
      <c r="DL740" s="1354"/>
      <c r="DM740" s="1354"/>
      <c r="DN740" s="1354"/>
      <c r="DO740" s="1354">
        <f t="shared" si="24"/>
        <v>0</v>
      </c>
      <c r="DP740" s="1354"/>
      <c r="DQ740" s="1354"/>
      <c r="DR740" s="1354"/>
      <c r="DS740" s="1354"/>
      <c r="DT740" s="6"/>
      <c r="DU740" s="1368">
        <f t="shared" si="25"/>
        <v>0</v>
      </c>
      <c r="DV740" s="1368"/>
      <c r="DW740" s="1368"/>
      <c r="DX740" s="1368"/>
      <c r="DY740" s="1368"/>
      <c r="DZ740" s="1368">
        <f t="shared" si="26"/>
        <v>0</v>
      </c>
      <c r="EA740" s="1368"/>
      <c r="EB740" s="1368"/>
      <c r="EC740" s="1368"/>
      <c r="ED740" s="1368"/>
      <c r="EE740" s="1368">
        <f t="shared" si="27"/>
        <v>0</v>
      </c>
      <c r="EF740" s="1368"/>
      <c r="EG740" s="1368"/>
      <c r="EH740" s="1368"/>
      <c r="EI740" s="1368"/>
      <c r="EJ740" s="1368">
        <f t="shared" si="28"/>
        <v>0</v>
      </c>
      <c r="EK740" s="1368"/>
      <c r="EL740" s="1368"/>
      <c r="EM740" s="1368"/>
      <c r="EN740" s="1368"/>
      <c r="EO740" s="1368">
        <f t="shared" si="29"/>
        <v>0</v>
      </c>
      <c r="EP740" s="1368"/>
      <c r="EQ740" s="1368"/>
      <c r="ER740" s="1368"/>
      <c r="ES740" s="1368"/>
      <c r="ET740" s="1368">
        <f t="shared" si="30"/>
        <v>0</v>
      </c>
      <c r="EU740" s="1368"/>
      <c r="EV740" s="1368"/>
      <c r="EW740" s="1368"/>
      <c r="EX740" s="1368"/>
      <c r="EZ740" s="1351" t="str">
        <f t="shared" si="31"/>
        <v/>
      </c>
      <c r="FA740" s="1352"/>
      <c r="FB740" s="1352"/>
      <c r="FC740" s="1352"/>
      <c r="FD740" s="1353"/>
      <c r="FE740" s="1351" t="str">
        <f t="shared" si="32"/>
        <v/>
      </c>
      <c r="FF740" s="1352"/>
      <c r="FG740" s="1352"/>
      <c r="FH740" s="1352"/>
      <c r="FI740" s="1353"/>
      <c r="FJ740" s="1351" t="str">
        <f t="shared" si="33"/>
        <v/>
      </c>
      <c r="FK740" s="1352"/>
      <c r="FL740" s="1352"/>
      <c r="FM740" s="1352"/>
      <c r="FN740" s="1353"/>
      <c r="FO740" s="1351" t="str">
        <f t="shared" si="34"/>
        <v/>
      </c>
      <c r="FP740" s="1352"/>
      <c r="FQ740" s="1352"/>
      <c r="FR740" s="1352"/>
      <c r="FS740" s="1353"/>
      <c r="FT740" s="1351" t="str">
        <f t="shared" si="35"/>
        <v/>
      </c>
      <c r="FU740" s="1352"/>
      <c r="FV740" s="1352"/>
      <c r="FW740" s="1352"/>
      <c r="FX740" s="1353"/>
      <c r="FY740" s="1351" t="str">
        <f t="shared" si="36"/>
        <v/>
      </c>
      <c r="FZ740" s="1352"/>
      <c r="GA740" s="1352"/>
      <c r="GB740" s="1352"/>
      <c r="GC740" s="1353"/>
    </row>
    <row r="741" spans="1:185" ht="12.95" customHeight="1">
      <c r="B741" s="1355"/>
      <c r="C741" s="1356"/>
      <c r="D741" s="1356"/>
      <c r="E741" s="1356"/>
      <c r="F741" s="1357"/>
      <c r="G741" s="1364"/>
      <c r="H741" s="1365"/>
      <c r="I741" s="1365"/>
      <c r="J741" s="1366"/>
      <c r="K741" s="1604"/>
      <c r="L741" s="1605"/>
      <c r="M741" s="1605"/>
      <c r="N741" s="1606"/>
      <c r="O741" s="1468"/>
      <c r="P741" s="1469"/>
      <c r="Q741" s="1469"/>
      <c r="R741" s="1469"/>
      <c r="S741" s="1470"/>
      <c r="T741" s="1468"/>
      <c r="U741" s="1469"/>
      <c r="V741" s="1469"/>
      <c r="W741" s="1470"/>
      <c r="X741" s="1358">
        <f t="shared" si="9"/>
        <v>0</v>
      </c>
      <c r="Y741" s="1359"/>
      <c r="Z741" s="1359"/>
      <c r="AA741" s="1359"/>
      <c r="AB741" s="1360"/>
      <c r="AC741" s="1613"/>
      <c r="AD741" s="1614"/>
      <c r="AE741" s="1614"/>
      <c r="AF741" s="1614"/>
      <c r="AG741" s="1615"/>
      <c r="AH741" s="1361" t="str">
        <f t="shared" si="37"/>
        <v/>
      </c>
      <c r="AI741" s="1362"/>
      <c r="AJ741" s="1363"/>
      <c r="AK741" s="1355" t="s">
        <v>591</v>
      </c>
      <c r="AL741" s="1356"/>
      <c r="AM741" s="1356"/>
      <c r="AN741" s="1356"/>
      <c r="AO741" s="1357"/>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1">
        <f t="shared" si="38"/>
        <v>0</v>
      </c>
      <c r="CH741" s="1353"/>
      <c r="CI741" s="1335">
        <f t="shared" si="39"/>
        <v>0</v>
      </c>
      <c r="CJ741" s="1337"/>
      <c r="CK741" s="1351">
        <f t="shared" si="17"/>
        <v>0</v>
      </c>
      <c r="CL741" s="1353"/>
      <c r="CM741" s="1335">
        <f t="shared" si="18"/>
        <v>0</v>
      </c>
      <c r="CN741" s="1337"/>
      <c r="CO741" s="3"/>
      <c r="CP741" s="1332">
        <f t="shared" si="19"/>
        <v>0</v>
      </c>
      <c r="CQ741" s="1333"/>
      <c r="CR741" s="1333"/>
      <c r="CS741" s="1333"/>
      <c r="CT741" s="1334"/>
      <c r="CU741" s="1354">
        <f t="shared" si="20"/>
        <v>0</v>
      </c>
      <c r="CV741" s="1354"/>
      <c r="CW741" s="1354"/>
      <c r="CX741" s="1354"/>
      <c r="CY741" s="1354"/>
      <c r="CZ741" s="1354">
        <f t="shared" si="21"/>
        <v>0</v>
      </c>
      <c r="DA741" s="1354"/>
      <c r="DB741" s="1354"/>
      <c r="DC741" s="1354"/>
      <c r="DD741" s="1354"/>
      <c r="DE741" s="1354">
        <f t="shared" si="22"/>
        <v>0</v>
      </c>
      <c r="DF741" s="1354"/>
      <c r="DG741" s="1354"/>
      <c r="DH741" s="1354"/>
      <c r="DI741" s="1354"/>
      <c r="DJ741" s="1354">
        <f t="shared" si="23"/>
        <v>0</v>
      </c>
      <c r="DK741" s="1354"/>
      <c r="DL741" s="1354"/>
      <c r="DM741" s="1354"/>
      <c r="DN741" s="1354"/>
      <c r="DO741" s="1354">
        <f t="shared" si="24"/>
        <v>0</v>
      </c>
      <c r="DP741" s="1354"/>
      <c r="DQ741" s="1354"/>
      <c r="DR741" s="1354"/>
      <c r="DS741" s="1354"/>
      <c r="DT741" s="6"/>
      <c r="DU741" s="1368">
        <f t="shared" si="25"/>
        <v>0</v>
      </c>
      <c r="DV741" s="1368"/>
      <c r="DW741" s="1368"/>
      <c r="DX741" s="1368"/>
      <c r="DY741" s="1368"/>
      <c r="DZ741" s="1368">
        <f t="shared" si="26"/>
        <v>0</v>
      </c>
      <c r="EA741" s="1368"/>
      <c r="EB741" s="1368"/>
      <c r="EC741" s="1368"/>
      <c r="ED741" s="1368"/>
      <c r="EE741" s="1368">
        <f t="shared" si="27"/>
        <v>0</v>
      </c>
      <c r="EF741" s="1368"/>
      <c r="EG741" s="1368"/>
      <c r="EH741" s="1368"/>
      <c r="EI741" s="1368"/>
      <c r="EJ741" s="1368">
        <f t="shared" si="28"/>
        <v>0</v>
      </c>
      <c r="EK741" s="1368"/>
      <c r="EL741" s="1368"/>
      <c r="EM741" s="1368"/>
      <c r="EN741" s="1368"/>
      <c r="EO741" s="1368">
        <f t="shared" si="29"/>
        <v>0</v>
      </c>
      <c r="EP741" s="1368"/>
      <c r="EQ741" s="1368"/>
      <c r="ER741" s="1368"/>
      <c r="ES741" s="1368"/>
      <c r="ET741" s="1368">
        <f t="shared" si="30"/>
        <v>0</v>
      </c>
      <c r="EU741" s="1368"/>
      <c r="EV741" s="1368"/>
      <c r="EW741" s="1368"/>
      <c r="EX741" s="1368"/>
      <c r="EZ741" s="1351" t="str">
        <f t="shared" si="31"/>
        <v/>
      </c>
      <c r="FA741" s="1352"/>
      <c r="FB741" s="1352"/>
      <c r="FC741" s="1352"/>
      <c r="FD741" s="1353"/>
      <c r="FE741" s="1351" t="str">
        <f t="shared" si="32"/>
        <v/>
      </c>
      <c r="FF741" s="1352"/>
      <c r="FG741" s="1352"/>
      <c r="FH741" s="1352"/>
      <c r="FI741" s="1353"/>
      <c r="FJ741" s="1351" t="str">
        <f t="shared" si="33"/>
        <v/>
      </c>
      <c r="FK741" s="1352"/>
      <c r="FL741" s="1352"/>
      <c r="FM741" s="1352"/>
      <c r="FN741" s="1353"/>
      <c r="FO741" s="1351" t="str">
        <f t="shared" si="34"/>
        <v/>
      </c>
      <c r="FP741" s="1352"/>
      <c r="FQ741" s="1352"/>
      <c r="FR741" s="1352"/>
      <c r="FS741" s="1353"/>
      <c r="FT741" s="1351" t="str">
        <f t="shared" si="35"/>
        <v/>
      </c>
      <c r="FU741" s="1352"/>
      <c r="FV741" s="1352"/>
      <c r="FW741" s="1352"/>
      <c r="FX741" s="1353"/>
      <c r="FY741" s="1351" t="str">
        <f t="shared" si="36"/>
        <v/>
      </c>
      <c r="FZ741" s="1352"/>
      <c r="GA741" s="1352"/>
      <c r="GB741" s="1352"/>
      <c r="GC741" s="1353"/>
    </row>
    <row r="742" spans="1:185" ht="12.95" customHeight="1">
      <c r="B742" s="1355"/>
      <c r="C742" s="1356"/>
      <c r="D742" s="1356"/>
      <c r="E742" s="1356"/>
      <c r="F742" s="1357"/>
      <c r="G742" s="1364"/>
      <c r="H742" s="1365"/>
      <c r="I742" s="1365"/>
      <c r="J742" s="1366"/>
      <c r="K742" s="1604"/>
      <c r="L742" s="1605"/>
      <c r="M742" s="1605"/>
      <c r="N742" s="1606"/>
      <c r="O742" s="1468"/>
      <c r="P742" s="1469"/>
      <c r="Q742" s="1469"/>
      <c r="R742" s="1469"/>
      <c r="S742" s="1470"/>
      <c r="T742" s="1468"/>
      <c r="U742" s="1469"/>
      <c r="V742" s="1469"/>
      <c r="W742" s="1470"/>
      <c r="X742" s="1358">
        <f t="shared" ref="X742:X751" si="40">O742+T742</f>
        <v>0</v>
      </c>
      <c r="Y742" s="1359"/>
      <c r="Z742" s="1359"/>
      <c r="AA742" s="1359"/>
      <c r="AB742" s="1360"/>
      <c r="AC742" s="1613"/>
      <c r="AD742" s="1614"/>
      <c r="AE742" s="1614"/>
      <c r="AF742" s="1614"/>
      <c r="AG742" s="1615"/>
      <c r="AH742" s="1361" t="str">
        <f t="shared" si="37"/>
        <v/>
      </c>
      <c r="AI742" s="1362"/>
      <c r="AJ742" s="1363"/>
      <c r="AK742" s="1355" t="s">
        <v>591</v>
      </c>
      <c r="AL742" s="1356"/>
      <c r="AM742" s="1356"/>
      <c r="AN742" s="1356"/>
      <c r="AO742" s="1357"/>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1">
        <f t="shared" si="38"/>
        <v>0</v>
      </c>
      <c r="CH742" s="1353"/>
      <c r="CI742" s="1335">
        <f t="shared" si="39"/>
        <v>0</v>
      </c>
      <c r="CJ742" s="1337"/>
      <c r="CK742" s="1351">
        <f t="shared" si="17"/>
        <v>0</v>
      </c>
      <c r="CL742" s="1353"/>
      <c r="CM742" s="1335">
        <f t="shared" si="18"/>
        <v>0</v>
      </c>
      <c r="CN742" s="1337"/>
      <c r="CO742" s="3"/>
      <c r="CP742" s="1332">
        <f t="shared" si="19"/>
        <v>0</v>
      </c>
      <c r="CQ742" s="1333"/>
      <c r="CR742" s="1333"/>
      <c r="CS742" s="1333"/>
      <c r="CT742" s="1334"/>
      <c r="CU742" s="1354">
        <f t="shared" si="20"/>
        <v>0</v>
      </c>
      <c r="CV742" s="1354"/>
      <c r="CW742" s="1354"/>
      <c r="CX742" s="1354"/>
      <c r="CY742" s="1354"/>
      <c r="CZ742" s="1354">
        <f t="shared" si="21"/>
        <v>0</v>
      </c>
      <c r="DA742" s="1354"/>
      <c r="DB742" s="1354"/>
      <c r="DC742" s="1354"/>
      <c r="DD742" s="1354"/>
      <c r="DE742" s="1354">
        <f t="shared" si="22"/>
        <v>0</v>
      </c>
      <c r="DF742" s="1354"/>
      <c r="DG742" s="1354"/>
      <c r="DH742" s="1354"/>
      <c r="DI742" s="1354"/>
      <c r="DJ742" s="1354">
        <f t="shared" si="23"/>
        <v>0</v>
      </c>
      <c r="DK742" s="1354"/>
      <c r="DL742" s="1354"/>
      <c r="DM742" s="1354"/>
      <c r="DN742" s="1354"/>
      <c r="DO742" s="1354">
        <f t="shared" si="24"/>
        <v>0</v>
      </c>
      <c r="DP742" s="1354"/>
      <c r="DQ742" s="1354"/>
      <c r="DR742" s="1354"/>
      <c r="DS742" s="1354"/>
      <c r="DT742" s="6"/>
      <c r="DU742" s="1368">
        <f t="shared" si="25"/>
        <v>0</v>
      </c>
      <c r="DV742" s="1368"/>
      <c r="DW742" s="1368"/>
      <c r="DX742" s="1368"/>
      <c r="DY742" s="1368"/>
      <c r="DZ742" s="1368">
        <f t="shared" si="26"/>
        <v>0</v>
      </c>
      <c r="EA742" s="1368"/>
      <c r="EB742" s="1368"/>
      <c r="EC742" s="1368"/>
      <c r="ED742" s="1368"/>
      <c r="EE742" s="1368">
        <f t="shared" si="27"/>
        <v>0</v>
      </c>
      <c r="EF742" s="1368"/>
      <c r="EG742" s="1368"/>
      <c r="EH742" s="1368"/>
      <c r="EI742" s="1368"/>
      <c r="EJ742" s="1368">
        <f t="shared" si="28"/>
        <v>0</v>
      </c>
      <c r="EK742" s="1368"/>
      <c r="EL742" s="1368"/>
      <c r="EM742" s="1368"/>
      <c r="EN742" s="1368"/>
      <c r="EO742" s="1368">
        <f t="shared" si="29"/>
        <v>0</v>
      </c>
      <c r="EP742" s="1368"/>
      <c r="EQ742" s="1368"/>
      <c r="ER742" s="1368"/>
      <c r="ES742" s="1368"/>
      <c r="ET742" s="1368">
        <f t="shared" si="30"/>
        <v>0</v>
      </c>
      <c r="EU742" s="1368"/>
      <c r="EV742" s="1368"/>
      <c r="EW742" s="1368"/>
      <c r="EX742" s="1368"/>
      <c r="EZ742" s="1351" t="str">
        <f t="shared" si="31"/>
        <v/>
      </c>
      <c r="FA742" s="1352"/>
      <c r="FB742" s="1352"/>
      <c r="FC742" s="1352"/>
      <c r="FD742" s="1353"/>
      <c r="FE742" s="1351" t="str">
        <f t="shared" si="32"/>
        <v/>
      </c>
      <c r="FF742" s="1352"/>
      <c r="FG742" s="1352"/>
      <c r="FH742" s="1352"/>
      <c r="FI742" s="1353"/>
      <c r="FJ742" s="1351" t="str">
        <f t="shared" si="33"/>
        <v/>
      </c>
      <c r="FK742" s="1352"/>
      <c r="FL742" s="1352"/>
      <c r="FM742" s="1352"/>
      <c r="FN742" s="1353"/>
      <c r="FO742" s="1351" t="str">
        <f t="shared" si="34"/>
        <v/>
      </c>
      <c r="FP742" s="1352"/>
      <c r="FQ742" s="1352"/>
      <c r="FR742" s="1352"/>
      <c r="FS742" s="1353"/>
      <c r="FT742" s="1351" t="str">
        <f t="shared" si="35"/>
        <v/>
      </c>
      <c r="FU742" s="1352"/>
      <c r="FV742" s="1352"/>
      <c r="FW742" s="1352"/>
      <c r="FX742" s="1353"/>
      <c r="FY742" s="1351" t="str">
        <f t="shared" si="36"/>
        <v/>
      </c>
      <c r="FZ742" s="1352"/>
      <c r="GA742" s="1352"/>
      <c r="GB742" s="1352"/>
      <c r="GC742" s="1353"/>
    </row>
    <row r="743" spans="1:185" s="3" customFormat="1" ht="12.95" customHeight="1">
      <c r="A743"/>
      <c r="B743" s="1355"/>
      <c r="C743" s="1356"/>
      <c r="D743" s="1356"/>
      <c r="E743" s="1356"/>
      <c r="F743" s="1357"/>
      <c r="G743" s="1364"/>
      <c r="H743" s="1365"/>
      <c r="I743" s="1365"/>
      <c r="J743" s="1366"/>
      <c r="K743" s="1604"/>
      <c r="L743" s="1605"/>
      <c r="M743" s="1605"/>
      <c r="N743" s="1606"/>
      <c r="O743" s="1468"/>
      <c r="P743" s="1469"/>
      <c r="Q743" s="1469"/>
      <c r="R743" s="1469"/>
      <c r="S743" s="1470"/>
      <c r="T743" s="1468"/>
      <c r="U743" s="1469"/>
      <c r="V743" s="1469"/>
      <c r="W743" s="1470"/>
      <c r="X743" s="1358">
        <f t="shared" si="40"/>
        <v>0</v>
      </c>
      <c r="Y743" s="1359"/>
      <c r="Z743" s="1359"/>
      <c r="AA743" s="1359"/>
      <c r="AB743" s="1360"/>
      <c r="AC743" s="1613"/>
      <c r="AD743" s="1614"/>
      <c r="AE743" s="1614"/>
      <c r="AF743" s="1614"/>
      <c r="AG743" s="1615"/>
      <c r="AH743" s="1361" t="str">
        <f t="shared" si="37"/>
        <v/>
      </c>
      <c r="AI743" s="1362"/>
      <c r="AJ743" s="1363"/>
      <c r="AK743" s="1355" t="s">
        <v>591</v>
      </c>
      <c r="AL743" s="1356"/>
      <c r="AM743" s="1356"/>
      <c r="AN743" s="1356"/>
      <c r="AO743" s="1357"/>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1">
        <f t="shared" si="38"/>
        <v>0</v>
      </c>
      <c r="CH743" s="1353"/>
      <c r="CI743" s="1335">
        <f t="shared" si="39"/>
        <v>0</v>
      </c>
      <c r="CJ743" s="1337"/>
      <c r="CK743" s="1351">
        <f t="shared" si="17"/>
        <v>0</v>
      </c>
      <c r="CL743" s="1353"/>
      <c r="CM743" s="1335">
        <f t="shared" si="18"/>
        <v>0</v>
      </c>
      <c r="CN743" s="1337"/>
      <c r="CP743" s="1332">
        <f t="shared" si="19"/>
        <v>0</v>
      </c>
      <c r="CQ743" s="1333"/>
      <c r="CR743" s="1333"/>
      <c r="CS743" s="1333"/>
      <c r="CT743" s="1334"/>
      <c r="CU743" s="1354">
        <f t="shared" si="20"/>
        <v>0</v>
      </c>
      <c r="CV743" s="1354"/>
      <c r="CW743" s="1354"/>
      <c r="CX743" s="1354"/>
      <c r="CY743" s="1354"/>
      <c r="CZ743" s="1354">
        <f t="shared" si="21"/>
        <v>0</v>
      </c>
      <c r="DA743" s="1354"/>
      <c r="DB743" s="1354"/>
      <c r="DC743" s="1354"/>
      <c r="DD743" s="1354"/>
      <c r="DE743" s="1354">
        <f t="shared" si="22"/>
        <v>0</v>
      </c>
      <c r="DF743" s="1354"/>
      <c r="DG743" s="1354"/>
      <c r="DH743" s="1354"/>
      <c r="DI743" s="1354"/>
      <c r="DJ743" s="1354">
        <f t="shared" si="23"/>
        <v>0</v>
      </c>
      <c r="DK743" s="1354"/>
      <c r="DL743" s="1354"/>
      <c r="DM743" s="1354"/>
      <c r="DN743" s="1354"/>
      <c r="DO743" s="1354">
        <f t="shared" si="24"/>
        <v>0</v>
      </c>
      <c r="DP743" s="1354"/>
      <c r="DQ743" s="1354"/>
      <c r="DR743" s="1354"/>
      <c r="DS743" s="1354"/>
      <c r="DT743" s="6"/>
      <c r="DU743" s="1368">
        <f t="shared" si="25"/>
        <v>0</v>
      </c>
      <c r="DV743" s="1368"/>
      <c r="DW743" s="1368"/>
      <c r="DX743" s="1368"/>
      <c r="DY743" s="1368"/>
      <c r="DZ743" s="1368">
        <f t="shared" si="26"/>
        <v>0</v>
      </c>
      <c r="EA743" s="1368"/>
      <c r="EB743" s="1368"/>
      <c r="EC743" s="1368"/>
      <c r="ED743" s="1368"/>
      <c r="EE743" s="1368">
        <f t="shared" si="27"/>
        <v>0</v>
      </c>
      <c r="EF743" s="1368"/>
      <c r="EG743" s="1368"/>
      <c r="EH743" s="1368"/>
      <c r="EI743" s="1368"/>
      <c r="EJ743" s="1368">
        <f t="shared" si="28"/>
        <v>0</v>
      </c>
      <c r="EK743" s="1368"/>
      <c r="EL743" s="1368"/>
      <c r="EM743" s="1368"/>
      <c r="EN743" s="1368"/>
      <c r="EO743" s="1368">
        <f t="shared" si="29"/>
        <v>0</v>
      </c>
      <c r="EP743" s="1368"/>
      <c r="EQ743" s="1368"/>
      <c r="ER743" s="1368"/>
      <c r="ES743" s="1368"/>
      <c r="ET743" s="1368">
        <f t="shared" si="30"/>
        <v>0</v>
      </c>
      <c r="EU743" s="1368"/>
      <c r="EV743" s="1368"/>
      <c r="EW743" s="1368"/>
      <c r="EX743" s="1368"/>
      <c r="EY743"/>
      <c r="EZ743" s="1351" t="str">
        <f t="shared" si="31"/>
        <v/>
      </c>
      <c r="FA743" s="1352"/>
      <c r="FB743" s="1352"/>
      <c r="FC743" s="1352"/>
      <c r="FD743" s="1353"/>
      <c r="FE743" s="1351" t="str">
        <f t="shared" si="32"/>
        <v/>
      </c>
      <c r="FF743" s="1352"/>
      <c r="FG743" s="1352"/>
      <c r="FH743" s="1352"/>
      <c r="FI743" s="1353"/>
      <c r="FJ743" s="1351" t="str">
        <f t="shared" si="33"/>
        <v/>
      </c>
      <c r="FK743" s="1352"/>
      <c r="FL743" s="1352"/>
      <c r="FM743" s="1352"/>
      <c r="FN743" s="1353"/>
      <c r="FO743" s="1351" t="str">
        <f t="shared" si="34"/>
        <v/>
      </c>
      <c r="FP743" s="1352"/>
      <c r="FQ743" s="1352"/>
      <c r="FR743" s="1352"/>
      <c r="FS743" s="1353"/>
      <c r="FT743" s="1351" t="str">
        <f t="shared" si="35"/>
        <v/>
      </c>
      <c r="FU743" s="1352"/>
      <c r="FV743" s="1352"/>
      <c r="FW743" s="1352"/>
      <c r="FX743" s="1353"/>
      <c r="FY743" s="1351" t="str">
        <f t="shared" si="36"/>
        <v/>
      </c>
      <c r="FZ743" s="1352"/>
      <c r="GA743" s="1352"/>
      <c r="GB743" s="1352"/>
      <c r="GC743" s="1353"/>
    </row>
    <row r="744" spans="1:185" ht="12.95" customHeight="1">
      <c r="B744" s="1355"/>
      <c r="C744" s="1356"/>
      <c r="D744" s="1356"/>
      <c r="E744" s="1356"/>
      <c r="F744" s="1357"/>
      <c r="G744" s="1364"/>
      <c r="H744" s="1365"/>
      <c r="I744" s="1365"/>
      <c r="J744" s="1366"/>
      <c r="K744" s="1604"/>
      <c r="L744" s="1605"/>
      <c r="M744" s="1605"/>
      <c r="N744" s="1606"/>
      <c r="O744" s="1468"/>
      <c r="P744" s="1469"/>
      <c r="Q744" s="1469"/>
      <c r="R744" s="1469"/>
      <c r="S744" s="1470"/>
      <c r="T744" s="1468"/>
      <c r="U744" s="1469"/>
      <c r="V744" s="1469"/>
      <c r="W744" s="1470"/>
      <c r="X744" s="1358">
        <f t="shared" si="40"/>
        <v>0</v>
      </c>
      <c r="Y744" s="1359"/>
      <c r="Z744" s="1359"/>
      <c r="AA744" s="1359"/>
      <c r="AB744" s="1360"/>
      <c r="AC744" s="1613"/>
      <c r="AD744" s="1614"/>
      <c r="AE744" s="1614"/>
      <c r="AF744" s="1614"/>
      <c r="AG744" s="1615"/>
      <c r="AH744" s="1361" t="str">
        <f t="shared" si="37"/>
        <v/>
      </c>
      <c r="AI744" s="1362"/>
      <c r="AJ744" s="1363"/>
      <c r="AK744" s="1355" t="s">
        <v>591</v>
      </c>
      <c r="AL744" s="1356"/>
      <c r="AM744" s="1356"/>
      <c r="AN744" s="1356"/>
      <c r="AO744" s="1357"/>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1">
        <f t="shared" si="38"/>
        <v>0</v>
      </c>
      <c r="CH744" s="1353"/>
      <c r="CI744" s="1335">
        <f t="shared" si="39"/>
        <v>0</v>
      </c>
      <c r="CJ744" s="1337"/>
      <c r="CK744" s="1351">
        <f t="shared" si="17"/>
        <v>0</v>
      </c>
      <c r="CL744" s="1353"/>
      <c r="CM744" s="1335">
        <f t="shared" si="18"/>
        <v>0</v>
      </c>
      <c r="CN744" s="1337"/>
      <c r="CO744" s="3"/>
      <c r="CP744" s="1332">
        <f t="shared" si="19"/>
        <v>0</v>
      </c>
      <c r="CQ744" s="1333"/>
      <c r="CR744" s="1333"/>
      <c r="CS744" s="1333"/>
      <c r="CT744" s="1334"/>
      <c r="CU744" s="1354">
        <f t="shared" si="20"/>
        <v>0</v>
      </c>
      <c r="CV744" s="1354"/>
      <c r="CW744" s="1354"/>
      <c r="CX744" s="1354"/>
      <c r="CY744" s="1354"/>
      <c r="CZ744" s="1354">
        <f t="shared" si="21"/>
        <v>0</v>
      </c>
      <c r="DA744" s="1354"/>
      <c r="DB744" s="1354"/>
      <c r="DC744" s="1354"/>
      <c r="DD744" s="1354"/>
      <c r="DE744" s="1354">
        <f t="shared" si="22"/>
        <v>0</v>
      </c>
      <c r="DF744" s="1354"/>
      <c r="DG744" s="1354"/>
      <c r="DH744" s="1354"/>
      <c r="DI744" s="1354"/>
      <c r="DJ744" s="1354">
        <f t="shared" si="23"/>
        <v>0</v>
      </c>
      <c r="DK744" s="1354"/>
      <c r="DL744" s="1354"/>
      <c r="DM744" s="1354"/>
      <c r="DN744" s="1354"/>
      <c r="DO744" s="1354">
        <f t="shared" si="24"/>
        <v>0</v>
      </c>
      <c r="DP744" s="1354"/>
      <c r="DQ744" s="1354"/>
      <c r="DR744" s="1354"/>
      <c r="DS744" s="1354"/>
      <c r="DT744" s="6"/>
      <c r="DU744" s="1368">
        <f t="shared" si="25"/>
        <v>0</v>
      </c>
      <c r="DV744" s="1368"/>
      <c r="DW744" s="1368"/>
      <c r="DX744" s="1368"/>
      <c r="DY744" s="1368"/>
      <c r="DZ744" s="1368">
        <f t="shared" si="26"/>
        <v>0</v>
      </c>
      <c r="EA744" s="1368"/>
      <c r="EB744" s="1368"/>
      <c r="EC744" s="1368"/>
      <c r="ED744" s="1368"/>
      <c r="EE744" s="1368">
        <f t="shared" si="27"/>
        <v>0</v>
      </c>
      <c r="EF744" s="1368"/>
      <c r="EG744" s="1368"/>
      <c r="EH744" s="1368"/>
      <c r="EI744" s="1368"/>
      <c r="EJ744" s="1368">
        <f t="shared" si="28"/>
        <v>0</v>
      </c>
      <c r="EK744" s="1368"/>
      <c r="EL744" s="1368"/>
      <c r="EM744" s="1368"/>
      <c r="EN744" s="1368"/>
      <c r="EO744" s="1368">
        <f t="shared" si="29"/>
        <v>0</v>
      </c>
      <c r="EP744" s="1368"/>
      <c r="EQ744" s="1368"/>
      <c r="ER744" s="1368"/>
      <c r="ES744" s="1368"/>
      <c r="ET744" s="1368">
        <f t="shared" si="30"/>
        <v>0</v>
      </c>
      <c r="EU744" s="1368"/>
      <c r="EV744" s="1368"/>
      <c r="EW744" s="1368"/>
      <c r="EX744" s="1368"/>
      <c r="EZ744" s="1351" t="str">
        <f t="shared" si="31"/>
        <v/>
      </c>
      <c r="FA744" s="1352"/>
      <c r="FB744" s="1352"/>
      <c r="FC744" s="1352"/>
      <c r="FD744" s="1353"/>
      <c r="FE744" s="1351" t="str">
        <f t="shared" si="32"/>
        <v/>
      </c>
      <c r="FF744" s="1352"/>
      <c r="FG744" s="1352"/>
      <c r="FH744" s="1352"/>
      <c r="FI744" s="1353"/>
      <c r="FJ744" s="1351" t="str">
        <f t="shared" si="33"/>
        <v/>
      </c>
      <c r="FK744" s="1352"/>
      <c r="FL744" s="1352"/>
      <c r="FM744" s="1352"/>
      <c r="FN744" s="1353"/>
      <c r="FO744" s="1351" t="str">
        <f t="shared" si="34"/>
        <v/>
      </c>
      <c r="FP744" s="1352"/>
      <c r="FQ744" s="1352"/>
      <c r="FR744" s="1352"/>
      <c r="FS744" s="1353"/>
      <c r="FT744" s="1351" t="str">
        <f t="shared" si="35"/>
        <v/>
      </c>
      <c r="FU744" s="1352"/>
      <c r="FV744" s="1352"/>
      <c r="FW744" s="1352"/>
      <c r="FX744" s="1353"/>
      <c r="FY744" s="1351" t="str">
        <f t="shared" si="36"/>
        <v/>
      </c>
      <c r="FZ744" s="1352"/>
      <c r="GA744" s="1352"/>
      <c r="GB744" s="1352"/>
      <c r="GC744" s="1353"/>
    </row>
    <row r="745" spans="1:185" ht="12.95" customHeight="1">
      <c r="B745" s="1355"/>
      <c r="C745" s="1356"/>
      <c r="D745" s="1356"/>
      <c r="E745" s="1356"/>
      <c r="F745" s="1357"/>
      <c r="G745" s="1364"/>
      <c r="H745" s="1365"/>
      <c r="I745" s="1365"/>
      <c r="J745" s="1366"/>
      <c r="K745" s="1604"/>
      <c r="L745" s="1605"/>
      <c r="M745" s="1605"/>
      <c r="N745" s="1606"/>
      <c r="O745" s="1468"/>
      <c r="P745" s="1469"/>
      <c r="Q745" s="1469"/>
      <c r="R745" s="1469"/>
      <c r="S745" s="1470"/>
      <c r="T745" s="1468"/>
      <c r="U745" s="1469"/>
      <c r="V745" s="1469"/>
      <c r="W745" s="1470"/>
      <c r="X745" s="1358">
        <f t="shared" si="40"/>
        <v>0</v>
      </c>
      <c r="Y745" s="1359"/>
      <c r="Z745" s="1359"/>
      <c r="AA745" s="1359"/>
      <c r="AB745" s="1360"/>
      <c r="AC745" s="1613"/>
      <c r="AD745" s="1614"/>
      <c r="AE745" s="1614"/>
      <c r="AF745" s="1614"/>
      <c r="AG745" s="1615"/>
      <c r="AH745" s="1361" t="str">
        <f t="shared" si="37"/>
        <v/>
      </c>
      <c r="AI745" s="1362"/>
      <c r="AJ745" s="1363"/>
      <c r="AK745" s="1355" t="s">
        <v>591</v>
      </c>
      <c r="AL745" s="1356"/>
      <c r="AM745" s="1356"/>
      <c r="AN745" s="1356"/>
      <c r="AO745" s="1357"/>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1">
        <f t="shared" si="38"/>
        <v>0</v>
      </c>
      <c r="CH745" s="1353"/>
      <c r="CI745" s="1335">
        <f t="shared" si="39"/>
        <v>0</v>
      </c>
      <c r="CJ745" s="1337"/>
      <c r="CK745" s="1351">
        <f t="shared" si="17"/>
        <v>0</v>
      </c>
      <c r="CL745" s="1353"/>
      <c r="CM745" s="1335">
        <f t="shared" si="18"/>
        <v>0</v>
      </c>
      <c r="CN745" s="1337"/>
      <c r="CO745" s="3"/>
      <c r="CP745" s="1332">
        <f t="shared" si="19"/>
        <v>0</v>
      </c>
      <c r="CQ745" s="1333"/>
      <c r="CR745" s="1333"/>
      <c r="CS745" s="1333"/>
      <c r="CT745" s="1334"/>
      <c r="CU745" s="1354">
        <f t="shared" si="20"/>
        <v>0</v>
      </c>
      <c r="CV745" s="1354"/>
      <c r="CW745" s="1354"/>
      <c r="CX745" s="1354"/>
      <c r="CY745" s="1354"/>
      <c r="CZ745" s="1354">
        <f t="shared" si="21"/>
        <v>0</v>
      </c>
      <c r="DA745" s="1354"/>
      <c r="DB745" s="1354"/>
      <c r="DC745" s="1354"/>
      <c r="DD745" s="1354"/>
      <c r="DE745" s="1354">
        <f t="shared" si="22"/>
        <v>0</v>
      </c>
      <c r="DF745" s="1354"/>
      <c r="DG745" s="1354"/>
      <c r="DH745" s="1354"/>
      <c r="DI745" s="1354"/>
      <c r="DJ745" s="1354">
        <f t="shared" si="23"/>
        <v>0</v>
      </c>
      <c r="DK745" s="1354"/>
      <c r="DL745" s="1354"/>
      <c r="DM745" s="1354"/>
      <c r="DN745" s="1354"/>
      <c r="DO745" s="1354">
        <f t="shared" si="24"/>
        <v>0</v>
      </c>
      <c r="DP745" s="1354"/>
      <c r="DQ745" s="1354"/>
      <c r="DR745" s="1354"/>
      <c r="DS745" s="1354"/>
      <c r="DT745" s="6"/>
      <c r="DU745" s="1368">
        <f t="shared" si="25"/>
        <v>0</v>
      </c>
      <c r="DV745" s="1368"/>
      <c r="DW745" s="1368"/>
      <c r="DX745" s="1368"/>
      <c r="DY745" s="1368"/>
      <c r="DZ745" s="1368">
        <f t="shared" si="26"/>
        <v>0</v>
      </c>
      <c r="EA745" s="1368"/>
      <c r="EB745" s="1368"/>
      <c r="EC745" s="1368"/>
      <c r="ED745" s="1368"/>
      <c r="EE745" s="1368">
        <f t="shared" si="27"/>
        <v>0</v>
      </c>
      <c r="EF745" s="1368"/>
      <c r="EG745" s="1368"/>
      <c r="EH745" s="1368"/>
      <c r="EI745" s="1368"/>
      <c r="EJ745" s="1368">
        <f t="shared" si="28"/>
        <v>0</v>
      </c>
      <c r="EK745" s="1368"/>
      <c r="EL745" s="1368"/>
      <c r="EM745" s="1368"/>
      <c r="EN745" s="1368"/>
      <c r="EO745" s="1368">
        <f t="shared" si="29"/>
        <v>0</v>
      </c>
      <c r="EP745" s="1368"/>
      <c r="EQ745" s="1368"/>
      <c r="ER745" s="1368"/>
      <c r="ES745" s="1368"/>
      <c r="ET745" s="1368">
        <f t="shared" si="30"/>
        <v>0</v>
      </c>
      <c r="EU745" s="1368"/>
      <c r="EV745" s="1368"/>
      <c r="EW745" s="1368"/>
      <c r="EX745" s="1368"/>
      <c r="EZ745" s="1351" t="str">
        <f t="shared" si="31"/>
        <v/>
      </c>
      <c r="FA745" s="1352"/>
      <c r="FB745" s="1352"/>
      <c r="FC745" s="1352"/>
      <c r="FD745" s="1353"/>
      <c r="FE745" s="1351" t="str">
        <f t="shared" si="32"/>
        <v/>
      </c>
      <c r="FF745" s="1352"/>
      <c r="FG745" s="1352"/>
      <c r="FH745" s="1352"/>
      <c r="FI745" s="1353"/>
      <c r="FJ745" s="1351" t="str">
        <f t="shared" si="33"/>
        <v/>
      </c>
      <c r="FK745" s="1352"/>
      <c r="FL745" s="1352"/>
      <c r="FM745" s="1352"/>
      <c r="FN745" s="1353"/>
      <c r="FO745" s="1351" t="str">
        <f t="shared" si="34"/>
        <v/>
      </c>
      <c r="FP745" s="1352"/>
      <c r="FQ745" s="1352"/>
      <c r="FR745" s="1352"/>
      <c r="FS745" s="1353"/>
      <c r="FT745" s="1351" t="str">
        <f t="shared" si="35"/>
        <v/>
      </c>
      <c r="FU745" s="1352"/>
      <c r="FV745" s="1352"/>
      <c r="FW745" s="1352"/>
      <c r="FX745" s="1353"/>
      <c r="FY745" s="1351" t="str">
        <f t="shared" si="36"/>
        <v/>
      </c>
      <c r="FZ745" s="1352"/>
      <c r="GA745" s="1352"/>
      <c r="GB745" s="1352"/>
      <c r="GC745" s="1353"/>
    </row>
    <row r="746" spans="1:185" ht="12.95" customHeight="1">
      <c r="B746" s="1355"/>
      <c r="C746" s="1356"/>
      <c r="D746" s="1356"/>
      <c r="E746" s="1356"/>
      <c r="F746" s="1357"/>
      <c r="G746" s="1364"/>
      <c r="H746" s="1365"/>
      <c r="I746" s="1365"/>
      <c r="J746" s="1366"/>
      <c r="K746" s="1604"/>
      <c r="L746" s="1605"/>
      <c r="M746" s="1605"/>
      <c r="N746" s="1606"/>
      <c r="O746" s="1468"/>
      <c r="P746" s="1469"/>
      <c r="Q746" s="1469"/>
      <c r="R746" s="1469"/>
      <c r="S746" s="1470"/>
      <c r="T746" s="1468"/>
      <c r="U746" s="1469"/>
      <c r="V746" s="1469"/>
      <c r="W746" s="1470"/>
      <c r="X746" s="1358">
        <f t="shared" si="40"/>
        <v>0</v>
      </c>
      <c r="Y746" s="1359"/>
      <c r="Z746" s="1359"/>
      <c r="AA746" s="1359"/>
      <c r="AB746" s="1360"/>
      <c r="AC746" s="1613"/>
      <c r="AD746" s="1614"/>
      <c r="AE746" s="1614"/>
      <c r="AF746" s="1614"/>
      <c r="AG746" s="1615"/>
      <c r="AH746" s="1361" t="str">
        <f t="shared" si="37"/>
        <v/>
      </c>
      <c r="AI746" s="1362"/>
      <c r="AJ746" s="1363"/>
      <c r="AK746" s="1355" t="s">
        <v>591</v>
      </c>
      <c r="AL746" s="1356"/>
      <c r="AM746" s="1356"/>
      <c r="AN746" s="1356"/>
      <c r="AO746" s="1357"/>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1">
        <f t="shared" si="38"/>
        <v>0</v>
      </c>
      <c r="CH746" s="1353"/>
      <c r="CI746" s="1335">
        <f t="shared" si="39"/>
        <v>0</v>
      </c>
      <c r="CJ746" s="1337"/>
      <c r="CK746" s="1351">
        <f t="shared" si="17"/>
        <v>0</v>
      </c>
      <c r="CL746" s="1353"/>
      <c r="CM746" s="1335">
        <f t="shared" si="18"/>
        <v>0</v>
      </c>
      <c r="CN746" s="1337"/>
      <c r="CO746" s="3"/>
      <c r="CP746" s="1332">
        <f t="shared" si="19"/>
        <v>0</v>
      </c>
      <c r="CQ746" s="1333"/>
      <c r="CR746" s="1333"/>
      <c r="CS746" s="1333"/>
      <c r="CT746" s="1334"/>
      <c r="CU746" s="1354">
        <f t="shared" si="20"/>
        <v>0</v>
      </c>
      <c r="CV746" s="1354"/>
      <c r="CW746" s="1354"/>
      <c r="CX746" s="1354"/>
      <c r="CY746" s="1354"/>
      <c r="CZ746" s="1354">
        <f t="shared" si="21"/>
        <v>0</v>
      </c>
      <c r="DA746" s="1354"/>
      <c r="DB746" s="1354"/>
      <c r="DC746" s="1354"/>
      <c r="DD746" s="1354"/>
      <c r="DE746" s="1354">
        <f t="shared" si="22"/>
        <v>0</v>
      </c>
      <c r="DF746" s="1354"/>
      <c r="DG746" s="1354"/>
      <c r="DH746" s="1354"/>
      <c r="DI746" s="1354"/>
      <c r="DJ746" s="1354">
        <f t="shared" si="23"/>
        <v>0</v>
      </c>
      <c r="DK746" s="1354"/>
      <c r="DL746" s="1354"/>
      <c r="DM746" s="1354"/>
      <c r="DN746" s="1354"/>
      <c r="DO746" s="1354">
        <f t="shared" si="24"/>
        <v>0</v>
      </c>
      <c r="DP746" s="1354"/>
      <c r="DQ746" s="1354"/>
      <c r="DR746" s="1354"/>
      <c r="DS746" s="1354"/>
      <c r="DT746" s="6"/>
      <c r="DU746" s="1368">
        <f t="shared" si="25"/>
        <v>0</v>
      </c>
      <c r="DV746" s="1368"/>
      <c r="DW746" s="1368"/>
      <c r="DX746" s="1368"/>
      <c r="DY746" s="1368"/>
      <c r="DZ746" s="1368">
        <f t="shared" si="26"/>
        <v>0</v>
      </c>
      <c r="EA746" s="1368"/>
      <c r="EB746" s="1368"/>
      <c r="EC746" s="1368"/>
      <c r="ED746" s="1368"/>
      <c r="EE746" s="1368">
        <f t="shared" si="27"/>
        <v>0</v>
      </c>
      <c r="EF746" s="1368"/>
      <c r="EG746" s="1368"/>
      <c r="EH746" s="1368"/>
      <c r="EI746" s="1368"/>
      <c r="EJ746" s="1368">
        <f t="shared" si="28"/>
        <v>0</v>
      </c>
      <c r="EK746" s="1368"/>
      <c r="EL746" s="1368"/>
      <c r="EM746" s="1368"/>
      <c r="EN746" s="1368"/>
      <c r="EO746" s="1368">
        <f t="shared" si="29"/>
        <v>0</v>
      </c>
      <c r="EP746" s="1368"/>
      <c r="EQ746" s="1368"/>
      <c r="ER746" s="1368"/>
      <c r="ES746" s="1368"/>
      <c r="ET746" s="1368">
        <f t="shared" si="30"/>
        <v>0</v>
      </c>
      <c r="EU746" s="1368"/>
      <c r="EV746" s="1368"/>
      <c r="EW746" s="1368"/>
      <c r="EX746" s="1368"/>
      <c r="EZ746" s="1351" t="str">
        <f t="shared" si="31"/>
        <v/>
      </c>
      <c r="FA746" s="1352"/>
      <c r="FB746" s="1352"/>
      <c r="FC746" s="1352"/>
      <c r="FD746" s="1353"/>
      <c r="FE746" s="1351" t="str">
        <f t="shared" si="32"/>
        <v/>
      </c>
      <c r="FF746" s="1352"/>
      <c r="FG746" s="1352"/>
      <c r="FH746" s="1352"/>
      <c r="FI746" s="1353"/>
      <c r="FJ746" s="1351" t="str">
        <f t="shared" si="33"/>
        <v/>
      </c>
      <c r="FK746" s="1352"/>
      <c r="FL746" s="1352"/>
      <c r="FM746" s="1352"/>
      <c r="FN746" s="1353"/>
      <c r="FO746" s="1351" t="str">
        <f t="shared" si="34"/>
        <v/>
      </c>
      <c r="FP746" s="1352"/>
      <c r="FQ746" s="1352"/>
      <c r="FR746" s="1352"/>
      <c r="FS746" s="1353"/>
      <c r="FT746" s="1351" t="str">
        <f t="shared" si="35"/>
        <v/>
      </c>
      <c r="FU746" s="1352"/>
      <c r="FV746" s="1352"/>
      <c r="FW746" s="1352"/>
      <c r="FX746" s="1353"/>
      <c r="FY746" s="1351" t="str">
        <f t="shared" si="36"/>
        <v/>
      </c>
      <c r="FZ746" s="1352"/>
      <c r="GA746" s="1352"/>
      <c r="GB746" s="1352"/>
      <c r="GC746" s="1353"/>
    </row>
    <row r="747" spans="1:185" ht="12.95" customHeight="1">
      <c r="B747" s="1355"/>
      <c r="C747" s="1356"/>
      <c r="D747" s="1356"/>
      <c r="E747" s="1356"/>
      <c r="F747" s="1357"/>
      <c r="G747" s="1364"/>
      <c r="H747" s="1365"/>
      <c r="I747" s="1365"/>
      <c r="J747" s="1366"/>
      <c r="K747" s="1604"/>
      <c r="L747" s="1605"/>
      <c r="M747" s="1605"/>
      <c r="N747" s="1606"/>
      <c r="O747" s="1468"/>
      <c r="P747" s="1469"/>
      <c r="Q747" s="1469"/>
      <c r="R747" s="1469"/>
      <c r="S747" s="1470"/>
      <c r="T747" s="1468"/>
      <c r="U747" s="1469"/>
      <c r="V747" s="1469"/>
      <c r="W747" s="1470"/>
      <c r="X747" s="1358">
        <f t="shared" si="40"/>
        <v>0</v>
      </c>
      <c r="Y747" s="1359"/>
      <c r="Z747" s="1359"/>
      <c r="AA747" s="1359"/>
      <c r="AB747" s="1360"/>
      <c r="AC747" s="1613"/>
      <c r="AD747" s="1614"/>
      <c r="AE747" s="1614"/>
      <c r="AF747" s="1614"/>
      <c r="AG747" s="1615"/>
      <c r="AH747" s="1361" t="str">
        <f t="shared" si="37"/>
        <v/>
      </c>
      <c r="AI747" s="1362"/>
      <c r="AJ747" s="1363"/>
      <c r="AK747" s="1355" t="s">
        <v>591</v>
      </c>
      <c r="AL747" s="1356"/>
      <c r="AM747" s="1356"/>
      <c r="AN747" s="1356"/>
      <c r="AO747" s="1357"/>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1">
        <f t="shared" si="38"/>
        <v>0</v>
      </c>
      <c r="CH747" s="1353"/>
      <c r="CI747" s="1335">
        <f t="shared" si="39"/>
        <v>0</v>
      </c>
      <c r="CJ747" s="1337"/>
      <c r="CK747" s="1351">
        <f t="shared" si="17"/>
        <v>0</v>
      </c>
      <c r="CL747" s="1353"/>
      <c r="CM747" s="1335">
        <f t="shared" si="18"/>
        <v>0</v>
      </c>
      <c r="CN747" s="1337"/>
      <c r="CO747" s="3"/>
      <c r="CP747" s="1332">
        <f t="shared" si="19"/>
        <v>0</v>
      </c>
      <c r="CQ747" s="1333"/>
      <c r="CR747" s="1333"/>
      <c r="CS747" s="1333"/>
      <c r="CT747" s="1334"/>
      <c r="CU747" s="1354">
        <f t="shared" si="20"/>
        <v>0</v>
      </c>
      <c r="CV747" s="1354"/>
      <c r="CW747" s="1354"/>
      <c r="CX747" s="1354"/>
      <c r="CY747" s="1354"/>
      <c r="CZ747" s="1354">
        <f t="shared" si="21"/>
        <v>0</v>
      </c>
      <c r="DA747" s="1354"/>
      <c r="DB747" s="1354"/>
      <c r="DC747" s="1354"/>
      <c r="DD747" s="1354"/>
      <c r="DE747" s="1354">
        <f t="shared" si="22"/>
        <v>0</v>
      </c>
      <c r="DF747" s="1354"/>
      <c r="DG747" s="1354"/>
      <c r="DH747" s="1354"/>
      <c r="DI747" s="1354"/>
      <c r="DJ747" s="1354">
        <f t="shared" si="23"/>
        <v>0</v>
      </c>
      <c r="DK747" s="1354"/>
      <c r="DL747" s="1354"/>
      <c r="DM747" s="1354"/>
      <c r="DN747" s="1354"/>
      <c r="DO747" s="1354">
        <f t="shared" si="24"/>
        <v>0</v>
      </c>
      <c r="DP747" s="1354"/>
      <c r="DQ747" s="1354"/>
      <c r="DR747" s="1354"/>
      <c r="DS747" s="1354"/>
      <c r="DT747" s="6"/>
      <c r="DU747" s="1368">
        <f t="shared" si="25"/>
        <v>0</v>
      </c>
      <c r="DV747" s="1368"/>
      <c r="DW747" s="1368"/>
      <c r="DX747" s="1368"/>
      <c r="DY747" s="1368"/>
      <c r="DZ747" s="1368">
        <f t="shared" si="26"/>
        <v>0</v>
      </c>
      <c r="EA747" s="1368"/>
      <c r="EB747" s="1368"/>
      <c r="EC747" s="1368"/>
      <c r="ED747" s="1368"/>
      <c r="EE747" s="1368">
        <f t="shared" si="27"/>
        <v>0</v>
      </c>
      <c r="EF747" s="1368"/>
      <c r="EG747" s="1368"/>
      <c r="EH747" s="1368"/>
      <c r="EI747" s="1368"/>
      <c r="EJ747" s="1368">
        <f t="shared" si="28"/>
        <v>0</v>
      </c>
      <c r="EK747" s="1368"/>
      <c r="EL747" s="1368"/>
      <c r="EM747" s="1368"/>
      <c r="EN747" s="1368"/>
      <c r="EO747" s="1368">
        <f t="shared" si="29"/>
        <v>0</v>
      </c>
      <c r="EP747" s="1368"/>
      <c r="EQ747" s="1368"/>
      <c r="ER747" s="1368"/>
      <c r="ES747" s="1368"/>
      <c r="ET747" s="1368">
        <f t="shared" si="30"/>
        <v>0</v>
      </c>
      <c r="EU747" s="1368"/>
      <c r="EV747" s="1368"/>
      <c r="EW747" s="1368"/>
      <c r="EX747" s="1368"/>
      <c r="EZ747" s="1351" t="str">
        <f t="shared" si="31"/>
        <v/>
      </c>
      <c r="FA747" s="1352"/>
      <c r="FB747" s="1352"/>
      <c r="FC747" s="1352"/>
      <c r="FD747" s="1353"/>
      <c r="FE747" s="1351" t="str">
        <f t="shared" si="32"/>
        <v/>
      </c>
      <c r="FF747" s="1352"/>
      <c r="FG747" s="1352"/>
      <c r="FH747" s="1352"/>
      <c r="FI747" s="1353"/>
      <c r="FJ747" s="1351" t="str">
        <f t="shared" si="33"/>
        <v/>
      </c>
      <c r="FK747" s="1352"/>
      <c r="FL747" s="1352"/>
      <c r="FM747" s="1352"/>
      <c r="FN747" s="1353"/>
      <c r="FO747" s="1351" t="str">
        <f t="shared" si="34"/>
        <v/>
      </c>
      <c r="FP747" s="1352"/>
      <c r="FQ747" s="1352"/>
      <c r="FR747" s="1352"/>
      <c r="FS747" s="1353"/>
      <c r="FT747" s="1351" t="str">
        <f t="shared" si="35"/>
        <v/>
      </c>
      <c r="FU747" s="1352"/>
      <c r="FV747" s="1352"/>
      <c r="FW747" s="1352"/>
      <c r="FX747" s="1353"/>
      <c r="FY747" s="1351" t="str">
        <f t="shared" si="36"/>
        <v/>
      </c>
      <c r="FZ747" s="1352"/>
      <c r="GA747" s="1352"/>
      <c r="GB747" s="1352"/>
      <c r="GC747" s="1353"/>
    </row>
    <row r="748" spans="1:185" s="3" customFormat="1" ht="12.95" customHeight="1">
      <c r="A748"/>
      <c r="B748" s="1355"/>
      <c r="C748" s="1356"/>
      <c r="D748" s="1356"/>
      <c r="E748" s="1356"/>
      <c r="F748" s="1357"/>
      <c r="G748" s="1364"/>
      <c r="H748" s="1365"/>
      <c r="I748" s="1365"/>
      <c r="J748" s="1366"/>
      <c r="K748" s="1604"/>
      <c r="L748" s="1605"/>
      <c r="M748" s="1605"/>
      <c r="N748" s="1606"/>
      <c r="O748" s="1468"/>
      <c r="P748" s="1469"/>
      <c r="Q748" s="1469"/>
      <c r="R748" s="1469"/>
      <c r="S748" s="1470"/>
      <c r="T748" s="1468"/>
      <c r="U748" s="1469"/>
      <c r="V748" s="1469"/>
      <c r="W748" s="1470"/>
      <c r="X748" s="1358">
        <f t="shared" si="40"/>
        <v>0</v>
      </c>
      <c r="Y748" s="1359"/>
      <c r="Z748" s="1359"/>
      <c r="AA748" s="1359"/>
      <c r="AB748" s="1360"/>
      <c r="AC748" s="1613"/>
      <c r="AD748" s="1614"/>
      <c r="AE748" s="1614"/>
      <c r="AF748" s="1614"/>
      <c r="AG748" s="1615"/>
      <c r="AH748" s="1361" t="str">
        <f t="shared" si="37"/>
        <v/>
      </c>
      <c r="AI748" s="1362"/>
      <c r="AJ748" s="1363"/>
      <c r="AK748" s="1355" t="s">
        <v>591</v>
      </c>
      <c r="AL748" s="1356"/>
      <c r="AM748" s="1356"/>
      <c r="AN748" s="1356"/>
      <c r="AO748" s="1357"/>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1">
        <f t="shared" si="38"/>
        <v>0</v>
      </c>
      <c r="CH748" s="1353"/>
      <c r="CI748" s="1335">
        <f t="shared" si="39"/>
        <v>0</v>
      </c>
      <c r="CJ748" s="1337"/>
      <c r="CK748" s="1351">
        <f t="shared" si="17"/>
        <v>0</v>
      </c>
      <c r="CL748" s="1353"/>
      <c r="CM748" s="1335">
        <f t="shared" si="18"/>
        <v>0</v>
      </c>
      <c r="CN748" s="1337"/>
      <c r="CP748" s="1332">
        <f t="shared" si="19"/>
        <v>0</v>
      </c>
      <c r="CQ748" s="1333"/>
      <c r="CR748" s="1333"/>
      <c r="CS748" s="1333"/>
      <c r="CT748" s="1334"/>
      <c r="CU748" s="1354">
        <f t="shared" si="20"/>
        <v>0</v>
      </c>
      <c r="CV748" s="1354"/>
      <c r="CW748" s="1354"/>
      <c r="CX748" s="1354"/>
      <c r="CY748" s="1354"/>
      <c r="CZ748" s="1354">
        <f t="shared" si="21"/>
        <v>0</v>
      </c>
      <c r="DA748" s="1354"/>
      <c r="DB748" s="1354"/>
      <c r="DC748" s="1354"/>
      <c r="DD748" s="1354"/>
      <c r="DE748" s="1354">
        <f t="shared" si="22"/>
        <v>0</v>
      </c>
      <c r="DF748" s="1354"/>
      <c r="DG748" s="1354"/>
      <c r="DH748" s="1354"/>
      <c r="DI748" s="1354"/>
      <c r="DJ748" s="1354">
        <f t="shared" si="23"/>
        <v>0</v>
      </c>
      <c r="DK748" s="1354"/>
      <c r="DL748" s="1354"/>
      <c r="DM748" s="1354"/>
      <c r="DN748" s="1354"/>
      <c r="DO748" s="1354">
        <f t="shared" si="24"/>
        <v>0</v>
      </c>
      <c r="DP748" s="1354"/>
      <c r="DQ748" s="1354"/>
      <c r="DR748" s="1354"/>
      <c r="DS748" s="1354"/>
      <c r="DT748" s="6"/>
      <c r="DU748" s="1368">
        <f t="shared" si="25"/>
        <v>0</v>
      </c>
      <c r="DV748" s="1368"/>
      <c r="DW748" s="1368"/>
      <c r="DX748" s="1368"/>
      <c r="DY748" s="1368"/>
      <c r="DZ748" s="1368">
        <f t="shared" si="26"/>
        <v>0</v>
      </c>
      <c r="EA748" s="1368"/>
      <c r="EB748" s="1368"/>
      <c r="EC748" s="1368"/>
      <c r="ED748" s="1368"/>
      <c r="EE748" s="1368">
        <f t="shared" si="27"/>
        <v>0</v>
      </c>
      <c r="EF748" s="1368"/>
      <c r="EG748" s="1368"/>
      <c r="EH748" s="1368"/>
      <c r="EI748" s="1368"/>
      <c r="EJ748" s="1368">
        <f t="shared" si="28"/>
        <v>0</v>
      </c>
      <c r="EK748" s="1368"/>
      <c r="EL748" s="1368"/>
      <c r="EM748" s="1368"/>
      <c r="EN748" s="1368"/>
      <c r="EO748" s="1368">
        <f t="shared" si="29"/>
        <v>0</v>
      </c>
      <c r="EP748" s="1368"/>
      <c r="EQ748" s="1368"/>
      <c r="ER748" s="1368"/>
      <c r="ES748" s="1368"/>
      <c r="ET748" s="1368">
        <f t="shared" si="30"/>
        <v>0</v>
      </c>
      <c r="EU748" s="1368"/>
      <c r="EV748" s="1368"/>
      <c r="EW748" s="1368"/>
      <c r="EX748" s="1368"/>
      <c r="EY748"/>
      <c r="EZ748" s="1351" t="str">
        <f t="shared" si="31"/>
        <v/>
      </c>
      <c r="FA748" s="1352"/>
      <c r="FB748" s="1352"/>
      <c r="FC748" s="1352"/>
      <c r="FD748" s="1353"/>
      <c r="FE748" s="1351" t="str">
        <f t="shared" si="32"/>
        <v/>
      </c>
      <c r="FF748" s="1352"/>
      <c r="FG748" s="1352"/>
      <c r="FH748" s="1352"/>
      <c r="FI748" s="1353"/>
      <c r="FJ748" s="1351" t="str">
        <f t="shared" si="33"/>
        <v/>
      </c>
      <c r="FK748" s="1352"/>
      <c r="FL748" s="1352"/>
      <c r="FM748" s="1352"/>
      <c r="FN748" s="1353"/>
      <c r="FO748" s="1351" t="str">
        <f t="shared" si="34"/>
        <v/>
      </c>
      <c r="FP748" s="1352"/>
      <c r="FQ748" s="1352"/>
      <c r="FR748" s="1352"/>
      <c r="FS748" s="1353"/>
      <c r="FT748" s="1351" t="str">
        <f t="shared" si="35"/>
        <v/>
      </c>
      <c r="FU748" s="1352"/>
      <c r="FV748" s="1352"/>
      <c r="FW748" s="1352"/>
      <c r="FX748" s="1353"/>
      <c r="FY748" s="1351" t="str">
        <f t="shared" si="36"/>
        <v/>
      </c>
      <c r="FZ748" s="1352"/>
      <c r="GA748" s="1352"/>
      <c r="GB748" s="1352"/>
      <c r="GC748" s="1353"/>
    </row>
    <row r="749" spans="1:185" s="3" customFormat="1" ht="12.95" customHeight="1">
      <c r="A749"/>
      <c r="B749" s="1355"/>
      <c r="C749" s="1356"/>
      <c r="D749" s="1356"/>
      <c r="E749" s="1356"/>
      <c r="F749" s="1357"/>
      <c r="G749" s="1364"/>
      <c r="H749" s="1365"/>
      <c r="I749" s="1365"/>
      <c r="J749" s="1366"/>
      <c r="K749" s="1604"/>
      <c r="L749" s="1605"/>
      <c r="M749" s="1605"/>
      <c r="N749" s="1606"/>
      <c r="O749" s="1468"/>
      <c r="P749" s="1469"/>
      <c r="Q749" s="1469"/>
      <c r="R749" s="1469"/>
      <c r="S749" s="1470"/>
      <c r="T749" s="1468"/>
      <c r="U749" s="1469"/>
      <c r="V749" s="1469"/>
      <c r="W749" s="1470"/>
      <c r="X749" s="1358">
        <f t="shared" si="40"/>
        <v>0</v>
      </c>
      <c r="Y749" s="1359"/>
      <c r="Z749" s="1359"/>
      <c r="AA749" s="1359"/>
      <c r="AB749" s="1360"/>
      <c r="AC749" s="1613"/>
      <c r="AD749" s="1614"/>
      <c r="AE749" s="1614"/>
      <c r="AF749" s="1614"/>
      <c r="AG749" s="1615"/>
      <c r="AH749" s="1361" t="str">
        <f t="shared" si="37"/>
        <v/>
      </c>
      <c r="AI749" s="1362"/>
      <c r="AJ749" s="1363"/>
      <c r="AK749" s="1355" t="s">
        <v>591</v>
      </c>
      <c r="AL749" s="1356"/>
      <c r="AM749" s="1356"/>
      <c r="AN749" s="1356"/>
      <c r="AO749" s="1357"/>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1">
        <f t="shared" si="38"/>
        <v>0</v>
      </c>
      <c r="CH749" s="1353"/>
      <c r="CI749" s="1335">
        <f t="shared" si="39"/>
        <v>0</v>
      </c>
      <c r="CJ749" s="1337"/>
      <c r="CK749" s="1351">
        <f t="shared" si="17"/>
        <v>0</v>
      </c>
      <c r="CL749" s="1353"/>
      <c r="CM749" s="1335">
        <f t="shared" si="18"/>
        <v>0</v>
      </c>
      <c r="CN749" s="1337"/>
      <c r="CP749" s="1332">
        <f t="shared" si="19"/>
        <v>0</v>
      </c>
      <c r="CQ749" s="1333"/>
      <c r="CR749" s="1333"/>
      <c r="CS749" s="1333"/>
      <c r="CT749" s="1334"/>
      <c r="CU749" s="1354">
        <f t="shared" si="20"/>
        <v>0</v>
      </c>
      <c r="CV749" s="1354"/>
      <c r="CW749" s="1354"/>
      <c r="CX749" s="1354"/>
      <c r="CY749" s="1354"/>
      <c r="CZ749" s="1354">
        <f t="shared" si="21"/>
        <v>0</v>
      </c>
      <c r="DA749" s="1354"/>
      <c r="DB749" s="1354"/>
      <c r="DC749" s="1354"/>
      <c r="DD749" s="1354"/>
      <c r="DE749" s="1354">
        <f t="shared" si="22"/>
        <v>0</v>
      </c>
      <c r="DF749" s="1354"/>
      <c r="DG749" s="1354"/>
      <c r="DH749" s="1354"/>
      <c r="DI749" s="1354"/>
      <c r="DJ749" s="1354">
        <f t="shared" si="23"/>
        <v>0</v>
      </c>
      <c r="DK749" s="1354"/>
      <c r="DL749" s="1354"/>
      <c r="DM749" s="1354"/>
      <c r="DN749" s="1354"/>
      <c r="DO749" s="1354">
        <f t="shared" si="24"/>
        <v>0</v>
      </c>
      <c r="DP749" s="1354"/>
      <c r="DQ749" s="1354"/>
      <c r="DR749" s="1354"/>
      <c r="DS749" s="1354"/>
      <c r="DT749" s="6"/>
      <c r="DU749" s="1368">
        <f t="shared" si="25"/>
        <v>0</v>
      </c>
      <c r="DV749" s="1368"/>
      <c r="DW749" s="1368"/>
      <c r="DX749" s="1368"/>
      <c r="DY749" s="1368"/>
      <c r="DZ749" s="1368">
        <f t="shared" si="26"/>
        <v>0</v>
      </c>
      <c r="EA749" s="1368"/>
      <c r="EB749" s="1368"/>
      <c r="EC749" s="1368"/>
      <c r="ED749" s="1368"/>
      <c r="EE749" s="1368">
        <f t="shared" si="27"/>
        <v>0</v>
      </c>
      <c r="EF749" s="1368"/>
      <c r="EG749" s="1368"/>
      <c r="EH749" s="1368"/>
      <c r="EI749" s="1368"/>
      <c r="EJ749" s="1368">
        <f t="shared" si="28"/>
        <v>0</v>
      </c>
      <c r="EK749" s="1368"/>
      <c r="EL749" s="1368"/>
      <c r="EM749" s="1368"/>
      <c r="EN749" s="1368"/>
      <c r="EO749" s="1368">
        <f t="shared" si="29"/>
        <v>0</v>
      </c>
      <c r="EP749" s="1368"/>
      <c r="EQ749" s="1368"/>
      <c r="ER749" s="1368"/>
      <c r="ES749" s="1368"/>
      <c r="ET749" s="1368">
        <f t="shared" si="30"/>
        <v>0</v>
      </c>
      <c r="EU749" s="1368"/>
      <c r="EV749" s="1368"/>
      <c r="EW749" s="1368"/>
      <c r="EX749" s="1368"/>
      <c r="EY749"/>
      <c r="EZ749" s="1351" t="str">
        <f t="shared" si="31"/>
        <v/>
      </c>
      <c r="FA749" s="1352"/>
      <c r="FB749" s="1352"/>
      <c r="FC749" s="1352"/>
      <c r="FD749" s="1353"/>
      <c r="FE749" s="1351" t="str">
        <f t="shared" si="32"/>
        <v/>
      </c>
      <c r="FF749" s="1352"/>
      <c r="FG749" s="1352"/>
      <c r="FH749" s="1352"/>
      <c r="FI749" s="1353"/>
      <c r="FJ749" s="1351" t="str">
        <f t="shared" si="33"/>
        <v/>
      </c>
      <c r="FK749" s="1352"/>
      <c r="FL749" s="1352"/>
      <c r="FM749" s="1352"/>
      <c r="FN749" s="1353"/>
      <c r="FO749" s="1351" t="str">
        <f t="shared" si="34"/>
        <v/>
      </c>
      <c r="FP749" s="1352"/>
      <c r="FQ749" s="1352"/>
      <c r="FR749" s="1352"/>
      <c r="FS749" s="1353"/>
      <c r="FT749" s="1351" t="str">
        <f t="shared" si="35"/>
        <v/>
      </c>
      <c r="FU749" s="1352"/>
      <c r="FV749" s="1352"/>
      <c r="FW749" s="1352"/>
      <c r="FX749" s="1353"/>
      <c r="FY749" s="1351" t="str">
        <f t="shared" si="36"/>
        <v/>
      </c>
      <c r="FZ749" s="1352"/>
      <c r="GA749" s="1352"/>
      <c r="GB749" s="1352"/>
      <c r="GC749" s="1353"/>
    </row>
    <row r="750" spans="1:185" s="3" customFormat="1" ht="12.95" customHeight="1">
      <c r="A750"/>
      <c r="B750" s="1355"/>
      <c r="C750" s="1356"/>
      <c r="D750" s="1356"/>
      <c r="E750" s="1356"/>
      <c r="F750" s="1357"/>
      <c r="G750" s="1364"/>
      <c r="H750" s="1365"/>
      <c r="I750" s="1365"/>
      <c r="J750" s="1366"/>
      <c r="K750" s="1604"/>
      <c r="L750" s="1605"/>
      <c r="M750" s="1605"/>
      <c r="N750" s="1606"/>
      <c r="O750" s="1468"/>
      <c r="P750" s="1469"/>
      <c r="Q750" s="1469"/>
      <c r="R750" s="1469"/>
      <c r="S750" s="1470"/>
      <c r="T750" s="1468"/>
      <c r="U750" s="1469"/>
      <c r="V750" s="1469"/>
      <c r="W750" s="1470"/>
      <c r="X750" s="1358">
        <f t="shared" si="40"/>
        <v>0</v>
      </c>
      <c r="Y750" s="1359"/>
      <c r="Z750" s="1359"/>
      <c r="AA750" s="1359"/>
      <c r="AB750" s="1360"/>
      <c r="AC750" s="1613"/>
      <c r="AD750" s="1614"/>
      <c r="AE750" s="1614"/>
      <c r="AF750" s="1614"/>
      <c r="AG750" s="1615"/>
      <c r="AH750" s="1361" t="str">
        <f t="shared" si="37"/>
        <v/>
      </c>
      <c r="AI750" s="1362"/>
      <c r="AJ750" s="1363"/>
      <c r="AK750" s="1355" t="s">
        <v>591</v>
      </c>
      <c r="AL750" s="1356"/>
      <c r="AM750" s="1356"/>
      <c r="AN750" s="1356"/>
      <c r="AO750" s="1357"/>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1">
        <f t="shared" si="38"/>
        <v>0</v>
      </c>
      <c r="CH750" s="1353"/>
      <c r="CI750" s="1335">
        <f t="shared" si="39"/>
        <v>0</v>
      </c>
      <c r="CJ750" s="1337"/>
      <c r="CK750" s="1351">
        <f t="shared" si="17"/>
        <v>0</v>
      </c>
      <c r="CL750" s="1353"/>
      <c r="CM750" s="1335">
        <f t="shared" si="18"/>
        <v>0</v>
      </c>
      <c r="CN750" s="1337"/>
      <c r="CP750" s="1332">
        <f t="shared" si="19"/>
        <v>0</v>
      </c>
      <c r="CQ750" s="1333"/>
      <c r="CR750" s="1333"/>
      <c r="CS750" s="1333"/>
      <c r="CT750" s="1334"/>
      <c r="CU750" s="1354">
        <f t="shared" si="20"/>
        <v>0</v>
      </c>
      <c r="CV750" s="1354"/>
      <c r="CW750" s="1354"/>
      <c r="CX750" s="1354"/>
      <c r="CY750" s="1354"/>
      <c r="CZ750" s="1354">
        <f t="shared" si="21"/>
        <v>0</v>
      </c>
      <c r="DA750" s="1354"/>
      <c r="DB750" s="1354"/>
      <c r="DC750" s="1354"/>
      <c r="DD750" s="1354"/>
      <c r="DE750" s="1354">
        <f t="shared" si="22"/>
        <v>0</v>
      </c>
      <c r="DF750" s="1354"/>
      <c r="DG750" s="1354"/>
      <c r="DH750" s="1354"/>
      <c r="DI750" s="1354"/>
      <c r="DJ750" s="1354">
        <f t="shared" si="23"/>
        <v>0</v>
      </c>
      <c r="DK750" s="1354"/>
      <c r="DL750" s="1354"/>
      <c r="DM750" s="1354"/>
      <c r="DN750" s="1354"/>
      <c r="DO750" s="1354">
        <f t="shared" si="24"/>
        <v>0</v>
      </c>
      <c r="DP750" s="1354"/>
      <c r="DQ750" s="1354"/>
      <c r="DR750" s="1354"/>
      <c r="DS750" s="1354"/>
      <c r="DT750" s="6"/>
      <c r="DU750" s="1368">
        <f t="shared" si="25"/>
        <v>0</v>
      </c>
      <c r="DV750" s="1368"/>
      <c r="DW750" s="1368"/>
      <c r="DX750" s="1368"/>
      <c r="DY750" s="1368"/>
      <c r="DZ750" s="1368">
        <f t="shared" si="26"/>
        <v>0</v>
      </c>
      <c r="EA750" s="1368"/>
      <c r="EB750" s="1368"/>
      <c r="EC750" s="1368"/>
      <c r="ED750" s="1368"/>
      <c r="EE750" s="1368">
        <f t="shared" si="27"/>
        <v>0</v>
      </c>
      <c r="EF750" s="1368"/>
      <c r="EG750" s="1368"/>
      <c r="EH750" s="1368"/>
      <c r="EI750" s="1368"/>
      <c r="EJ750" s="1368">
        <f t="shared" si="28"/>
        <v>0</v>
      </c>
      <c r="EK750" s="1368"/>
      <c r="EL750" s="1368"/>
      <c r="EM750" s="1368"/>
      <c r="EN750" s="1368"/>
      <c r="EO750" s="1368">
        <f t="shared" si="29"/>
        <v>0</v>
      </c>
      <c r="EP750" s="1368"/>
      <c r="EQ750" s="1368"/>
      <c r="ER750" s="1368"/>
      <c r="ES750" s="1368"/>
      <c r="ET750" s="1368">
        <f t="shared" si="30"/>
        <v>0</v>
      </c>
      <c r="EU750" s="1368"/>
      <c r="EV750" s="1368"/>
      <c r="EW750" s="1368"/>
      <c r="EX750" s="1368"/>
      <c r="EY750"/>
      <c r="EZ750" s="1351" t="str">
        <f t="shared" si="31"/>
        <v/>
      </c>
      <c r="FA750" s="1352"/>
      <c r="FB750" s="1352"/>
      <c r="FC750" s="1352"/>
      <c r="FD750" s="1353"/>
      <c r="FE750" s="1351" t="str">
        <f t="shared" si="32"/>
        <v/>
      </c>
      <c r="FF750" s="1352"/>
      <c r="FG750" s="1352"/>
      <c r="FH750" s="1352"/>
      <c r="FI750" s="1353"/>
      <c r="FJ750" s="1351" t="str">
        <f t="shared" si="33"/>
        <v/>
      </c>
      <c r="FK750" s="1352"/>
      <c r="FL750" s="1352"/>
      <c r="FM750" s="1352"/>
      <c r="FN750" s="1353"/>
      <c r="FO750" s="1351" t="str">
        <f t="shared" si="34"/>
        <v/>
      </c>
      <c r="FP750" s="1352"/>
      <c r="FQ750" s="1352"/>
      <c r="FR750" s="1352"/>
      <c r="FS750" s="1353"/>
      <c r="FT750" s="1351" t="str">
        <f t="shared" si="35"/>
        <v/>
      </c>
      <c r="FU750" s="1352"/>
      <c r="FV750" s="1352"/>
      <c r="FW750" s="1352"/>
      <c r="FX750" s="1353"/>
      <c r="FY750" s="1351" t="str">
        <f t="shared" si="36"/>
        <v/>
      </c>
      <c r="FZ750" s="1352"/>
      <c r="GA750" s="1352"/>
      <c r="GB750" s="1352"/>
      <c r="GC750" s="1353"/>
    </row>
    <row r="751" spans="1:185" s="3" customFormat="1" ht="12.95" customHeight="1">
      <c r="A751"/>
      <c r="B751" s="1355"/>
      <c r="C751" s="1356"/>
      <c r="D751" s="1356"/>
      <c r="E751" s="1356"/>
      <c r="F751" s="1357"/>
      <c r="G751" s="1364"/>
      <c r="H751" s="1365"/>
      <c r="I751" s="1365"/>
      <c r="J751" s="1366"/>
      <c r="K751" s="1604"/>
      <c r="L751" s="1605"/>
      <c r="M751" s="1605"/>
      <c r="N751" s="1606"/>
      <c r="O751" s="1468"/>
      <c r="P751" s="1469"/>
      <c r="Q751" s="1469"/>
      <c r="R751" s="1469"/>
      <c r="S751" s="1470"/>
      <c r="T751" s="1468"/>
      <c r="U751" s="1469"/>
      <c r="V751" s="1469"/>
      <c r="W751" s="1470"/>
      <c r="X751" s="1358">
        <f t="shared" si="40"/>
        <v>0</v>
      </c>
      <c r="Y751" s="1359"/>
      <c r="Z751" s="1359"/>
      <c r="AA751" s="1359"/>
      <c r="AB751" s="1360"/>
      <c r="AC751" s="1613"/>
      <c r="AD751" s="1614"/>
      <c r="AE751" s="1614"/>
      <c r="AF751" s="1614"/>
      <c r="AG751" s="1615"/>
      <c r="AH751" s="1361" t="str">
        <f t="shared" si="37"/>
        <v/>
      </c>
      <c r="AI751" s="1362"/>
      <c r="AJ751" s="1363"/>
      <c r="AK751" s="1355" t="s">
        <v>591</v>
      </c>
      <c r="AL751" s="1356"/>
      <c r="AM751" s="1356"/>
      <c r="AN751" s="1356"/>
      <c r="AO751" s="1357"/>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1">
        <f t="shared" si="38"/>
        <v>0</v>
      </c>
      <c r="CH751" s="1353"/>
      <c r="CI751" s="1335">
        <f t="shared" si="39"/>
        <v>0</v>
      </c>
      <c r="CJ751" s="1337"/>
      <c r="CK751" s="1351">
        <f t="shared" si="17"/>
        <v>0</v>
      </c>
      <c r="CL751" s="1353"/>
      <c r="CM751" s="1335">
        <f t="shared" si="18"/>
        <v>0</v>
      </c>
      <c r="CN751" s="1337"/>
      <c r="CP751" s="1332">
        <f t="shared" si="19"/>
        <v>0</v>
      </c>
      <c r="CQ751" s="1333"/>
      <c r="CR751" s="1333"/>
      <c r="CS751" s="1333"/>
      <c r="CT751" s="1334"/>
      <c r="CU751" s="1354">
        <f t="shared" si="20"/>
        <v>0</v>
      </c>
      <c r="CV751" s="1354"/>
      <c r="CW751" s="1354"/>
      <c r="CX751" s="1354"/>
      <c r="CY751" s="1354"/>
      <c r="CZ751" s="1354">
        <f t="shared" si="21"/>
        <v>0</v>
      </c>
      <c r="DA751" s="1354"/>
      <c r="DB751" s="1354"/>
      <c r="DC751" s="1354"/>
      <c r="DD751" s="1354"/>
      <c r="DE751" s="1354">
        <f t="shared" si="22"/>
        <v>0</v>
      </c>
      <c r="DF751" s="1354"/>
      <c r="DG751" s="1354"/>
      <c r="DH751" s="1354"/>
      <c r="DI751" s="1354"/>
      <c r="DJ751" s="1354">
        <f t="shared" si="23"/>
        <v>0</v>
      </c>
      <c r="DK751" s="1354"/>
      <c r="DL751" s="1354"/>
      <c r="DM751" s="1354"/>
      <c r="DN751" s="1354"/>
      <c r="DO751" s="1354">
        <f t="shared" si="24"/>
        <v>0</v>
      </c>
      <c r="DP751" s="1354"/>
      <c r="DQ751" s="1354"/>
      <c r="DR751" s="1354"/>
      <c r="DS751" s="1354"/>
      <c r="DT751" s="6"/>
      <c r="DU751" s="1368">
        <f t="shared" si="25"/>
        <v>0</v>
      </c>
      <c r="DV751" s="1368"/>
      <c r="DW751" s="1368"/>
      <c r="DX751" s="1368"/>
      <c r="DY751" s="1368"/>
      <c r="DZ751" s="1368">
        <f t="shared" si="26"/>
        <v>0</v>
      </c>
      <c r="EA751" s="1368"/>
      <c r="EB751" s="1368"/>
      <c r="EC751" s="1368"/>
      <c r="ED751" s="1368"/>
      <c r="EE751" s="1368">
        <f t="shared" si="27"/>
        <v>0</v>
      </c>
      <c r="EF751" s="1368"/>
      <c r="EG751" s="1368"/>
      <c r="EH751" s="1368"/>
      <c r="EI751" s="1368"/>
      <c r="EJ751" s="1368">
        <f t="shared" si="28"/>
        <v>0</v>
      </c>
      <c r="EK751" s="1368"/>
      <c r="EL751" s="1368"/>
      <c r="EM751" s="1368"/>
      <c r="EN751" s="1368"/>
      <c r="EO751" s="1368">
        <f t="shared" si="29"/>
        <v>0</v>
      </c>
      <c r="EP751" s="1368"/>
      <c r="EQ751" s="1368"/>
      <c r="ER751" s="1368"/>
      <c r="ES751" s="1368"/>
      <c r="ET751" s="1368">
        <f t="shared" si="30"/>
        <v>0</v>
      </c>
      <c r="EU751" s="1368"/>
      <c r="EV751" s="1368"/>
      <c r="EW751" s="1368"/>
      <c r="EX751" s="1368"/>
      <c r="EY751"/>
      <c r="EZ751" s="1351" t="str">
        <f t="shared" si="31"/>
        <v/>
      </c>
      <c r="FA751" s="1352"/>
      <c r="FB751" s="1352"/>
      <c r="FC751" s="1352"/>
      <c r="FD751" s="1353"/>
      <c r="FE751" s="1351" t="str">
        <f t="shared" si="32"/>
        <v/>
      </c>
      <c r="FF751" s="1352"/>
      <c r="FG751" s="1352"/>
      <c r="FH751" s="1352"/>
      <c r="FI751" s="1353"/>
      <c r="FJ751" s="1351" t="str">
        <f t="shared" si="33"/>
        <v/>
      </c>
      <c r="FK751" s="1352"/>
      <c r="FL751" s="1352"/>
      <c r="FM751" s="1352"/>
      <c r="FN751" s="1353"/>
      <c r="FO751" s="1351" t="str">
        <f t="shared" si="34"/>
        <v/>
      </c>
      <c r="FP751" s="1352"/>
      <c r="FQ751" s="1352"/>
      <c r="FR751" s="1352"/>
      <c r="FS751" s="1353"/>
      <c r="FT751" s="1351" t="str">
        <f t="shared" si="35"/>
        <v/>
      </c>
      <c r="FU751" s="1352"/>
      <c r="FV751" s="1352"/>
      <c r="FW751" s="1352"/>
      <c r="FX751" s="1353"/>
      <c r="FY751" s="1351" t="str">
        <f t="shared" si="36"/>
        <v/>
      </c>
      <c r="FZ751" s="1352"/>
      <c r="GA751" s="1352"/>
      <c r="GB751" s="1352"/>
      <c r="GC751" s="1353"/>
    </row>
    <row r="752" spans="1:185" s="3" customFormat="1" ht="12.95" customHeight="1">
      <c r="A752"/>
      <c r="B752" s="1355"/>
      <c r="C752" s="1356"/>
      <c r="D752" s="1356"/>
      <c r="E752" s="1356"/>
      <c r="F752" s="1357"/>
      <c r="G752" s="1364"/>
      <c r="H752" s="1365"/>
      <c r="I752" s="1365"/>
      <c r="J752" s="1366"/>
      <c r="K752" s="1604"/>
      <c r="L752" s="1605"/>
      <c r="M752" s="1605"/>
      <c r="N752" s="1606"/>
      <c r="O752" s="1468"/>
      <c r="P752" s="1469"/>
      <c r="Q752" s="1469"/>
      <c r="R752" s="1469"/>
      <c r="S752" s="1470"/>
      <c r="T752" s="1468"/>
      <c r="U752" s="1469"/>
      <c r="V752" s="1469"/>
      <c r="W752" s="1470"/>
      <c r="X752" s="1358">
        <f>O752+T752</f>
        <v>0</v>
      </c>
      <c r="Y752" s="1359"/>
      <c r="Z752" s="1359"/>
      <c r="AA752" s="1359"/>
      <c r="AB752" s="1360"/>
      <c r="AC752" s="1613"/>
      <c r="AD752" s="1614"/>
      <c r="AE752" s="1614"/>
      <c r="AF752" s="1614"/>
      <c r="AG752" s="1615"/>
      <c r="AH752" s="1361" t="str">
        <f t="shared" si="37"/>
        <v/>
      </c>
      <c r="AI752" s="1362"/>
      <c r="AJ752" s="1363"/>
      <c r="AK752" s="1355" t="s">
        <v>591</v>
      </c>
      <c r="AL752" s="1356"/>
      <c r="AM752" s="1356"/>
      <c r="AN752" s="1356"/>
      <c r="AO752" s="1357"/>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1">
        <f t="shared" si="38"/>
        <v>0</v>
      </c>
      <c r="CH752" s="1353"/>
      <c r="CI752" s="1335">
        <f t="shared" si="39"/>
        <v>0</v>
      </c>
      <c r="CJ752" s="1337"/>
      <c r="CK752" s="1351">
        <f t="shared" si="17"/>
        <v>0</v>
      </c>
      <c r="CL752" s="1353"/>
      <c r="CM752" s="1335">
        <f t="shared" si="18"/>
        <v>0</v>
      </c>
      <c r="CN752" s="1337"/>
      <c r="CP752" s="1332">
        <f t="shared" si="19"/>
        <v>0</v>
      </c>
      <c r="CQ752" s="1333"/>
      <c r="CR752" s="1333"/>
      <c r="CS752" s="1333"/>
      <c r="CT752" s="1334"/>
      <c r="CU752" s="1354">
        <f t="shared" si="20"/>
        <v>0</v>
      </c>
      <c r="CV752" s="1354"/>
      <c r="CW752" s="1354"/>
      <c r="CX752" s="1354"/>
      <c r="CY752" s="1354"/>
      <c r="CZ752" s="1354">
        <f t="shared" si="21"/>
        <v>0</v>
      </c>
      <c r="DA752" s="1354"/>
      <c r="DB752" s="1354"/>
      <c r="DC752" s="1354"/>
      <c r="DD752" s="1354"/>
      <c r="DE752" s="1354">
        <f t="shared" si="22"/>
        <v>0</v>
      </c>
      <c r="DF752" s="1354"/>
      <c r="DG752" s="1354"/>
      <c r="DH752" s="1354"/>
      <c r="DI752" s="1354"/>
      <c r="DJ752" s="1354">
        <f t="shared" si="23"/>
        <v>0</v>
      </c>
      <c r="DK752" s="1354"/>
      <c r="DL752" s="1354"/>
      <c r="DM752" s="1354"/>
      <c r="DN752" s="1354"/>
      <c r="DO752" s="1354">
        <f t="shared" si="24"/>
        <v>0</v>
      </c>
      <c r="DP752" s="1354"/>
      <c r="DQ752" s="1354"/>
      <c r="DR752" s="1354"/>
      <c r="DS752" s="1354"/>
      <c r="DT752" s="6"/>
      <c r="DU752" s="1368">
        <f t="shared" si="25"/>
        <v>0</v>
      </c>
      <c r="DV752" s="1368"/>
      <c r="DW752" s="1368"/>
      <c r="DX752" s="1368"/>
      <c r="DY752" s="1368"/>
      <c r="DZ752" s="1368">
        <f t="shared" si="26"/>
        <v>0</v>
      </c>
      <c r="EA752" s="1368"/>
      <c r="EB752" s="1368"/>
      <c r="EC752" s="1368"/>
      <c r="ED752" s="1368"/>
      <c r="EE752" s="1368">
        <f t="shared" si="27"/>
        <v>0</v>
      </c>
      <c r="EF752" s="1368"/>
      <c r="EG752" s="1368"/>
      <c r="EH752" s="1368"/>
      <c r="EI752" s="1368"/>
      <c r="EJ752" s="1368">
        <f t="shared" si="28"/>
        <v>0</v>
      </c>
      <c r="EK752" s="1368"/>
      <c r="EL752" s="1368"/>
      <c r="EM752" s="1368"/>
      <c r="EN752" s="1368"/>
      <c r="EO752" s="1368">
        <f t="shared" si="29"/>
        <v>0</v>
      </c>
      <c r="EP752" s="1368"/>
      <c r="EQ752" s="1368"/>
      <c r="ER752" s="1368"/>
      <c r="ES752" s="1368"/>
      <c r="ET752" s="1368">
        <f t="shared" si="30"/>
        <v>0</v>
      </c>
      <c r="EU752" s="1368"/>
      <c r="EV752" s="1368"/>
      <c r="EW752" s="1368"/>
      <c r="EX752" s="1368"/>
      <c r="EY752"/>
      <c r="EZ752" s="1351" t="str">
        <f t="shared" si="31"/>
        <v/>
      </c>
      <c r="FA752" s="1352"/>
      <c r="FB752" s="1352"/>
      <c r="FC752" s="1352"/>
      <c r="FD752" s="1353"/>
      <c r="FE752" s="1351" t="str">
        <f t="shared" si="32"/>
        <v/>
      </c>
      <c r="FF752" s="1352"/>
      <c r="FG752" s="1352"/>
      <c r="FH752" s="1352"/>
      <c r="FI752" s="1353"/>
      <c r="FJ752" s="1351" t="str">
        <f t="shared" si="33"/>
        <v/>
      </c>
      <c r="FK752" s="1352"/>
      <c r="FL752" s="1352"/>
      <c r="FM752" s="1352"/>
      <c r="FN752" s="1353"/>
      <c r="FO752" s="1351" t="str">
        <f t="shared" si="34"/>
        <v/>
      </c>
      <c r="FP752" s="1352"/>
      <c r="FQ752" s="1352"/>
      <c r="FR752" s="1352"/>
      <c r="FS752" s="1353"/>
      <c r="FT752" s="1351" t="str">
        <f t="shared" si="35"/>
        <v/>
      </c>
      <c r="FU752" s="1352"/>
      <c r="FV752" s="1352"/>
      <c r="FW752" s="1352"/>
      <c r="FX752" s="1353"/>
      <c r="FY752" s="1351" t="str">
        <f t="shared" si="36"/>
        <v/>
      </c>
      <c r="FZ752" s="1352"/>
      <c r="GA752" s="1352"/>
      <c r="GB752" s="1352"/>
      <c r="GC752" s="1353"/>
    </row>
    <row r="753" spans="1:185" s="3" customFormat="1" ht="12.95" customHeight="1">
      <c r="A753"/>
      <c r="B753" s="1408" t="s">
        <v>125</v>
      </c>
      <c r="C753" s="1409"/>
      <c r="D753" s="1409"/>
      <c r="E753" s="1409"/>
      <c r="F753" s="1411"/>
      <c r="G753" s="1719">
        <f>SUM(G718:G752)</f>
        <v>64</v>
      </c>
      <c r="H753" s="1720"/>
      <c r="I753" s="1720"/>
      <c r="J753" s="1721"/>
      <c r="K753" s="902" t="s">
        <v>124</v>
      </c>
      <c r="L753" s="5"/>
      <c r="M753" s="5"/>
      <c r="N753" s="46"/>
      <c r="O753" s="1358">
        <f>SUMPRODUCT(G718:G752,O718:O752)</f>
        <v>108752.59999999999</v>
      </c>
      <c r="P753" s="1359"/>
      <c r="Q753" s="1359"/>
      <c r="R753" s="1359"/>
      <c r="S753" s="1360"/>
      <c r="T753"/>
      <c r="U753"/>
      <c r="V753"/>
      <c r="W753"/>
      <c r="X753" s="904" t="s">
        <v>900</v>
      </c>
      <c r="Y753" s="903"/>
      <c r="Z753" s="903"/>
      <c r="AA753" s="903"/>
      <c r="AB753" s="905"/>
      <c r="AC753" s="1617">
        <f>BH753</f>
        <v>0.484375</v>
      </c>
      <c r="AD753" s="1618"/>
      <c r="AE753" s="1618"/>
      <c r="AF753" s="1618"/>
      <c r="AG753" s="1619"/>
      <c r="AH753" s="1617">
        <f>IFERROR(BU753,"")</f>
        <v>0.42794899764060595</v>
      </c>
      <c r="AI753" s="1618"/>
      <c r="AJ753" s="1619"/>
      <c r="AK753"/>
      <c r="AL753"/>
      <c r="AM753"/>
      <c r="AN753"/>
      <c r="AO753"/>
      <c r="AP753" s="205"/>
      <c r="AQ753" s="205"/>
      <c r="AR753" s="205"/>
      <c r="AS753" s="205"/>
      <c r="AT753"/>
      <c r="AU753"/>
      <c r="AV753"/>
      <c r="AW753"/>
      <c r="AX753"/>
      <c r="AY753"/>
      <c r="AZ753" s="34"/>
      <c r="BA753" s="34"/>
      <c r="BB753" s="34"/>
      <c r="BC753" s="34"/>
      <c r="BE753" s="290" t="s">
        <v>899</v>
      </c>
      <c r="BF753" s="299">
        <f>SUM(BF718:BF752)</f>
        <v>64</v>
      </c>
      <c r="BG753" s="300">
        <f>SUM(BG718:BG752)</f>
        <v>1</v>
      </c>
      <c r="BH753" s="300">
        <f>SUM(BH718:BH752)</f>
        <v>0.484375</v>
      </c>
      <c r="BI753"/>
      <c r="BJ753"/>
      <c r="BK753"/>
      <c r="BL753"/>
      <c r="BO753"/>
      <c r="BP753"/>
      <c r="BQ753"/>
      <c r="BR753"/>
      <c r="BS753" s="859">
        <f>SUM(BS718:BS752)</f>
        <v>64</v>
      </c>
      <c r="BT753" s="300">
        <f>SUM(BT718:BT752)</f>
        <v>1</v>
      </c>
      <c r="BU753" s="300">
        <f>SUM(BU718:BU752)</f>
        <v>0.42794899764060595</v>
      </c>
      <c r="CI753" s="1351">
        <f>SUM(CI718:CJ752)</f>
        <v>35</v>
      </c>
      <c r="CJ753" s="1353"/>
      <c r="CM753" s="1351">
        <f>SUM(CM718:CN752)</f>
        <v>17</v>
      </c>
      <c r="CN753" s="1353"/>
      <c r="CP753" s="1351">
        <f>SUM(CP718:CT752)</f>
        <v>0</v>
      </c>
      <c r="CQ753" s="1352"/>
      <c r="CR753" s="1352"/>
      <c r="CS753" s="1352"/>
      <c r="CT753" s="1353"/>
      <c r="CU753" s="1367">
        <f>SUM(CU718:CY752)</f>
        <v>30</v>
      </c>
      <c r="CV753" s="1367"/>
      <c r="CW753" s="1367"/>
      <c r="CX753" s="1367"/>
      <c r="CY753" s="1367"/>
      <c r="CZ753" s="1367">
        <f>SUM(CZ718:DD752)</f>
        <v>18</v>
      </c>
      <c r="DA753" s="1367"/>
      <c r="DB753" s="1367"/>
      <c r="DC753" s="1367"/>
      <c r="DD753" s="1367"/>
      <c r="DE753" s="1367">
        <f>SUM(DE718:DI752)</f>
        <v>16</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11</v>
      </c>
      <c r="EA753" s="1367"/>
      <c r="EB753" s="1367"/>
      <c r="EC753" s="1367"/>
      <c r="ED753" s="1367"/>
      <c r="EE753" s="1367">
        <f>SUM(EE718:EI752)</f>
        <v>3</v>
      </c>
      <c r="EF753" s="1367"/>
      <c r="EG753" s="1367"/>
      <c r="EH753" s="1367"/>
      <c r="EI753" s="1367"/>
      <c r="EJ753" s="1367">
        <f>SUM(EJ718:EN752)</f>
        <v>3</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4456.6000000000004</v>
      </c>
      <c r="FF753" s="1367"/>
      <c r="FG753" s="1367"/>
      <c r="FH753" s="1367"/>
      <c r="FI753" s="1367"/>
      <c r="FJ753" s="1367">
        <f>SUM(FJ718:FN752)</f>
        <v>5142.5</v>
      </c>
      <c r="FK753" s="1367"/>
      <c r="FL753" s="1367"/>
      <c r="FM753" s="1367"/>
      <c r="FN753" s="1367"/>
      <c r="FO753" s="1367">
        <f>SUM(FO718:FS752)</f>
        <v>5892.5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3" t="s">
        <v>1893</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1860</v>
      </c>
      <c r="DO754" s="1351">
        <f>CP753+CU753+CZ753+DE753+DJ753+DO753</f>
        <v>64</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36</v>
      </c>
      <c r="DE755" s="3"/>
      <c r="DF755" s="3"/>
      <c r="DG755" s="3"/>
      <c r="DH755" s="3"/>
      <c r="DI755" s="861">
        <f>DE753*3</f>
        <v>48</v>
      </c>
      <c r="DJ755" s="3"/>
      <c r="DK755" s="3"/>
      <c r="DL755" s="3"/>
      <c r="DM755" s="3"/>
      <c r="DN755" s="861">
        <f>DJ753*4</f>
        <v>0</v>
      </c>
      <c r="DO755" s="3"/>
      <c r="DP755" s="3"/>
      <c r="DQ755" s="3"/>
      <c r="DR755" s="3"/>
      <c r="DS755" s="861">
        <f>DO753*5</f>
        <v>0</v>
      </c>
      <c r="DU755" s="861">
        <f>CT755+CY755+DD755+DI755+DN755+DS755</f>
        <v>114</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114</v>
      </c>
      <c r="P756" s="1367"/>
      <c r="Q756" s="1367"/>
      <c r="R756" s="1367"/>
      <c r="S756" s="969"/>
      <c r="T756" s="969"/>
      <c r="U756" s="118" t="s">
        <v>1892</v>
      </c>
      <c r="V756" s="1032"/>
      <c r="W756" s="1032"/>
      <c r="X756" s="1032"/>
      <c r="Y756" s="1033"/>
      <c r="Z756" s="1033"/>
      <c r="AA756" s="1033"/>
      <c r="AB756" s="1033"/>
      <c r="AC756" s="1032"/>
      <c r="AD756" s="1032"/>
      <c r="AE756" s="1032"/>
      <c r="AF756" s="1032"/>
      <c r="AG756" s="1715">
        <v>26</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591</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2" t="s">
        <v>285</v>
      </c>
      <c r="P769" s="1602"/>
      <c r="Q769" s="1602"/>
      <c r="R769" s="1602"/>
      <c r="S769" s="1602"/>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2"/>
      <c r="P770" s="1602"/>
      <c r="Q770" s="1602"/>
      <c r="R770" s="1602"/>
      <c r="S770" s="1602"/>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2"/>
      <c r="P771" s="1602"/>
      <c r="Q771" s="1602"/>
      <c r="R771" s="1602"/>
      <c r="S771" s="1602"/>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2"/>
      <c r="P772" s="1602"/>
      <c r="Q772" s="1602"/>
      <c r="R772" s="1602"/>
      <c r="S772" s="1602"/>
      <c r="T772" s="1610"/>
      <c r="U772" s="1611"/>
      <c r="V772" s="1611"/>
      <c r="W772" s="1612"/>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4">
        <v>1</v>
      </c>
      <c r="P773" s="1464"/>
      <c r="Q773" s="1464"/>
      <c r="R773" s="1464"/>
      <c r="S773" s="1464"/>
      <c r="T773" s="1604">
        <v>989.41</v>
      </c>
      <c r="U773" s="1605"/>
      <c r="V773" s="1605"/>
      <c r="W773" s="1606"/>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4"/>
      <c r="U774" s="1605"/>
      <c r="V774" s="1605"/>
      <c r="W774" s="1606"/>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4"/>
      <c r="U775" s="1605"/>
      <c r="V775" s="1605"/>
      <c r="W775" s="1606"/>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4"/>
      <c r="U776" s="1605"/>
      <c r="V776" s="1605"/>
      <c r="W776" s="1606"/>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2" t="s">
        <v>285</v>
      </c>
      <c r="P783" s="1602"/>
      <c r="Q783" s="1602"/>
      <c r="R783" s="1602"/>
      <c r="S783" s="1602"/>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2"/>
      <c r="P784" s="1602"/>
      <c r="Q784" s="1602"/>
      <c r="R784" s="1602"/>
      <c r="S784" s="1602"/>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2"/>
      <c r="P785" s="1602"/>
      <c r="Q785" s="1602"/>
      <c r="R785" s="1602"/>
      <c r="S785" s="1602"/>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2"/>
      <c r="P786" s="1602"/>
      <c r="Q786" s="1602"/>
      <c r="R786" s="1602"/>
      <c r="S786" s="1602"/>
      <c r="T786" s="1610"/>
      <c r="U786" s="1611"/>
      <c r="V786" s="1611"/>
      <c r="W786" s="1612"/>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4"/>
      <c r="U787" s="1605"/>
      <c r="V787" s="1605"/>
      <c r="W787" s="1606"/>
      <c r="X787" s="1468"/>
      <c r="Y787" s="1469"/>
      <c r="Z787" s="1469"/>
      <c r="AA787" s="1469"/>
      <c r="AB787" s="1470"/>
      <c r="AC787" s="1358">
        <f t="shared" ref="AC787:AC796" si="41">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2">IF(J787="SRO/Studio",O787,0)</f>
        <v>0</v>
      </c>
      <c r="CQ787" s="1333"/>
      <c r="CR787" s="1333"/>
      <c r="CS787" s="1333"/>
      <c r="CT787" s="1334"/>
      <c r="CU787" s="1332">
        <f t="shared" ref="CU787:CU796" si="43">IF(J787="1 Bedroom",O787,0)</f>
        <v>0</v>
      </c>
      <c r="CV787" s="1333"/>
      <c r="CW787" s="1333"/>
      <c r="CX787" s="1333"/>
      <c r="CY787" s="1334"/>
      <c r="CZ787" s="1332">
        <f t="shared" ref="CZ787:CZ796" si="44">IF(J787="2 Bedrooms",O787,0)</f>
        <v>0</v>
      </c>
      <c r="DA787" s="1333"/>
      <c r="DB787" s="1333"/>
      <c r="DC787" s="1333"/>
      <c r="DD787" s="1334"/>
      <c r="DE787" s="1332">
        <f t="shared" ref="DE787:DE796" si="45">IF(J787="3 Bedrooms",O787,0)</f>
        <v>0</v>
      </c>
      <c r="DF787" s="1333"/>
      <c r="DG787" s="1333"/>
      <c r="DH787" s="1333"/>
      <c r="DI787" s="1334"/>
      <c r="DJ787" s="1332">
        <f t="shared" ref="DJ787:DJ796" si="46">IF(J787="4 Bedrooms",O787,0)</f>
        <v>0</v>
      </c>
      <c r="DK787" s="1333"/>
      <c r="DL787" s="1333"/>
      <c r="DM787" s="1333"/>
      <c r="DN787" s="1334"/>
      <c r="DO787" s="1332">
        <f t="shared" ref="DO787:DO796" si="47">IF(J787="5 Bedrooms",O787,0)</f>
        <v>0</v>
      </c>
      <c r="DP787" s="1333"/>
      <c r="DQ787" s="1333"/>
      <c r="DR787" s="1333"/>
      <c r="DS787" s="1334"/>
      <c r="DT787" s="6"/>
      <c r="DU787" s="1332">
        <f t="shared" ref="DU787:DU796" si="48">IF(AND(CP787&gt;=1,AH787&gt;=0.1,AH787&lt;=1),O787,0)</f>
        <v>0</v>
      </c>
      <c r="DV787" s="1333"/>
      <c r="DW787" s="1333"/>
      <c r="DX787" s="1333"/>
      <c r="DY787" s="1334"/>
      <c r="DZ787" s="1332">
        <f t="shared" ref="DZ787:DZ796" si="49">IF(AND(CU787&gt;=1,AH787&gt;=0.1,AH787&lt;=1),O787,0)</f>
        <v>0</v>
      </c>
      <c r="EA787" s="1333"/>
      <c r="EB787" s="1333"/>
      <c r="EC787" s="1333"/>
      <c r="ED787" s="1334"/>
      <c r="EE787" s="1332">
        <f t="shared" ref="EE787:EE796" si="50">IF(AND(CZ787&gt;=1,AH787&gt;=0.1,AH787&lt;=1),O787,0)</f>
        <v>0</v>
      </c>
      <c r="EF787" s="1333"/>
      <c r="EG787" s="1333"/>
      <c r="EH787" s="1333"/>
      <c r="EI787" s="1334"/>
      <c r="EJ787" s="1332">
        <f t="shared" ref="EJ787:EJ796" si="51">IF(AND(DE787&gt;=1,AH787&gt;=0.1,AH787&lt;=1),O787,0)</f>
        <v>0</v>
      </c>
      <c r="EK787" s="1333"/>
      <c r="EL787" s="1333"/>
      <c r="EM787" s="1333"/>
      <c r="EN787" s="1334"/>
      <c r="EO787" s="1332">
        <f t="shared" ref="EO787:EO796" si="52">IF(AND(DJ787&gt;=1,AH787&gt;=0.1,AH787&lt;=1),O787,0)</f>
        <v>0</v>
      </c>
      <c r="EP787" s="1333"/>
      <c r="EQ787" s="1333"/>
      <c r="ER787" s="1333"/>
      <c r="ES787" s="1334"/>
      <c r="ET787" s="1332">
        <f t="shared" ref="ET787:ET796" si="53">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4"/>
      <c r="U788" s="1605"/>
      <c r="V788" s="1605"/>
      <c r="W788" s="1606"/>
      <c r="X788" s="1468"/>
      <c r="Y788" s="1469"/>
      <c r="Z788" s="1469"/>
      <c r="AA788" s="1469"/>
      <c r="AB788" s="1470"/>
      <c r="AC788" s="1358">
        <f t="shared" si="41"/>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2"/>
        <v>0</v>
      </c>
      <c r="CQ788" s="1333"/>
      <c r="CR788" s="1333"/>
      <c r="CS788" s="1333"/>
      <c r="CT788" s="1334"/>
      <c r="CU788" s="1332">
        <f t="shared" si="43"/>
        <v>0</v>
      </c>
      <c r="CV788" s="1333"/>
      <c r="CW788" s="1333"/>
      <c r="CX788" s="1333"/>
      <c r="CY788" s="1334"/>
      <c r="CZ788" s="1332">
        <f t="shared" si="44"/>
        <v>0</v>
      </c>
      <c r="DA788" s="1333"/>
      <c r="DB788" s="1333"/>
      <c r="DC788" s="1333"/>
      <c r="DD788" s="1334"/>
      <c r="DE788" s="1332">
        <f t="shared" si="45"/>
        <v>0</v>
      </c>
      <c r="DF788" s="1333"/>
      <c r="DG788" s="1333"/>
      <c r="DH788" s="1333"/>
      <c r="DI788" s="1334"/>
      <c r="DJ788" s="1332">
        <f t="shared" si="46"/>
        <v>0</v>
      </c>
      <c r="DK788" s="1333"/>
      <c r="DL788" s="1333"/>
      <c r="DM788" s="1333"/>
      <c r="DN788" s="1334"/>
      <c r="DO788" s="1332">
        <f t="shared" si="47"/>
        <v>0</v>
      </c>
      <c r="DP788" s="1333"/>
      <c r="DQ788" s="1333"/>
      <c r="DR788" s="1333"/>
      <c r="DS788" s="1334"/>
      <c r="DT788" s="6"/>
      <c r="DU788" s="1332">
        <f t="shared" si="48"/>
        <v>0</v>
      </c>
      <c r="DV788" s="1333"/>
      <c r="DW788" s="1333"/>
      <c r="DX788" s="1333"/>
      <c r="DY788" s="1334"/>
      <c r="DZ788" s="1332">
        <f t="shared" si="49"/>
        <v>0</v>
      </c>
      <c r="EA788" s="1333"/>
      <c r="EB788" s="1333"/>
      <c r="EC788" s="1333"/>
      <c r="ED788" s="1334"/>
      <c r="EE788" s="1332">
        <f t="shared" si="50"/>
        <v>0</v>
      </c>
      <c r="EF788" s="1333"/>
      <c r="EG788" s="1333"/>
      <c r="EH788" s="1333"/>
      <c r="EI788" s="1334"/>
      <c r="EJ788" s="1332">
        <f t="shared" si="51"/>
        <v>0</v>
      </c>
      <c r="EK788" s="1333"/>
      <c r="EL788" s="1333"/>
      <c r="EM788" s="1333"/>
      <c r="EN788" s="1334"/>
      <c r="EO788" s="1332">
        <f t="shared" si="52"/>
        <v>0</v>
      </c>
      <c r="EP788" s="1333"/>
      <c r="EQ788" s="1333"/>
      <c r="ER788" s="1333"/>
      <c r="ES788" s="1334"/>
      <c r="ET788" s="1332">
        <f t="shared" si="53"/>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4"/>
      <c r="U789" s="1605"/>
      <c r="V789" s="1605"/>
      <c r="W789" s="1606"/>
      <c r="X789" s="1468"/>
      <c r="Y789" s="1469"/>
      <c r="Z789" s="1469"/>
      <c r="AA789" s="1469"/>
      <c r="AB789" s="1470"/>
      <c r="AC789" s="1358">
        <f t="shared" si="41"/>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2"/>
        <v>0</v>
      </c>
      <c r="CQ789" s="1333"/>
      <c r="CR789" s="1333"/>
      <c r="CS789" s="1333"/>
      <c r="CT789" s="1334"/>
      <c r="CU789" s="1332">
        <f t="shared" si="43"/>
        <v>0</v>
      </c>
      <c r="CV789" s="1333"/>
      <c r="CW789" s="1333"/>
      <c r="CX789" s="1333"/>
      <c r="CY789" s="1334"/>
      <c r="CZ789" s="1332">
        <f t="shared" si="44"/>
        <v>0</v>
      </c>
      <c r="DA789" s="1333"/>
      <c r="DB789" s="1333"/>
      <c r="DC789" s="1333"/>
      <c r="DD789" s="1334"/>
      <c r="DE789" s="1332">
        <f t="shared" si="45"/>
        <v>0</v>
      </c>
      <c r="DF789" s="1333"/>
      <c r="DG789" s="1333"/>
      <c r="DH789" s="1333"/>
      <c r="DI789" s="1334"/>
      <c r="DJ789" s="1332">
        <f t="shared" si="46"/>
        <v>0</v>
      </c>
      <c r="DK789" s="1333"/>
      <c r="DL789" s="1333"/>
      <c r="DM789" s="1333"/>
      <c r="DN789" s="1334"/>
      <c r="DO789" s="1332">
        <f t="shared" si="47"/>
        <v>0</v>
      </c>
      <c r="DP789" s="1333"/>
      <c r="DQ789" s="1333"/>
      <c r="DR789" s="1333"/>
      <c r="DS789" s="1334"/>
      <c r="DT789" s="6"/>
      <c r="DU789" s="1332">
        <f t="shared" si="48"/>
        <v>0</v>
      </c>
      <c r="DV789" s="1333"/>
      <c r="DW789" s="1333"/>
      <c r="DX789" s="1333"/>
      <c r="DY789" s="1334"/>
      <c r="DZ789" s="1332">
        <f t="shared" si="49"/>
        <v>0</v>
      </c>
      <c r="EA789" s="1333"/>
      <c r="EB789" s="1333"/>
      <c r="EC789" s="1333"/>
      <c r="ED789" s="1334"/>
      <c r="EE789" s="1332">
        <f t="shared" si="50"/>
        <v>0</v>
      </c>
      <c r="EF789" s="1333"/>
      <c r="EG789" s="1333"/>
      <c r="EH789" s="1333"/>
      <c r="EI789" s="1334"/>
      <c r="EJ789" s="1332">
        <f t="shared" si="51"/>
        <v>0</v>
      </c>
      <c r="EK789" s="1333"/>
      <c r="EL789" s="1333"/>
      <c r="EM789" s="1333"/>
      <c r="EN789" s="1334"/>
      <c r="EO789" s="1332">
        <f t="shared" si="52"/>
        <v>0</v>
      </c>
      <c r="EP789" s="1333"/>
      <c r="EQ789" s="1333"/>
      <c r="ER789" s="1333"/>
      <c r="ES789" s="1334"/>
      <c r="ET789" s="1332">
        <f t="shared" si="53"/>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4"/>
      <c r="U790" s="1605"/>
      <c r="V790" s="1605"/>
      <c r="W790" s="1606"/>
      <c r="X790" s="1468"/>
      <c r="Y790" s="1469"/>
      <c r="Z790" s="1469"/>
      <c r="AA790" s="1469"/>
      <c r="AB790" s="1470"/>
      <c r="AC790" s="1358">
        <f t="shared" si="41"/>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2"/>
        <v>0</v>
      </c>
      <c r="CQ790" s="1333"/>
      <c r="CR790" s="1333"/>
      <c r="CS790" s="1333"/>
      <c r="CT790" s="1334"/>
      <c r="CU790" s="1332">
        <f t="shared" si="43"/>
        <v>0</v>
      </c>
      <c r="CV790" s="1333"/>
      <c r="CW790" s="1333"/>
      <c r="CX790" s="1333"/>
      <c r="CY790" s="1334"/>
      <c r="CZ790" s="1332">
        <f t="shared" si="44"/>
        <v>0</v>
      </c>
      <c r="DA790" s="1333"/>
      <c r="DB790" s="1333"/>
      <c r="DC790" s="1333"/>
      <c r="DD790" s="1334"/>
      <c r="DE790" s="1332">
        <f t="shared" si="45"/>
        <v>0</v>
      </c>
      <c r="DF790" s="1333"/>
      <c r="DG790" s="1333"/>
      <c r="DH790" s="1333"/>
      <c r="DI790" s="1334"/>
      <c r="DJ790" s="1332">
        <f t="shared" si="46"/>
        <v>0</v>
      </c>
      <c r="DK790" s="1333"/>
      <c r="DL790" s="1333"/>
      <c r="DM790" s="1333"/>
      <c r="DN790" s="1334"/>
      <c r="DO790" s="1332">
        <f t="shared" si="47"/>
        <v>0</v>
      </c>
      <c r="DP790" s="1333"/>
      <c r="DQ790" s="1333"/>
      <c r="DR790" s="1333"/>
      <c r="DS790" s="1334"/>
      <c r="DT790" s="6"/>
      <c r="DU790" s="1332">
        <f t="shared" si="48"/>
        <v>0</v>
      </c>
      <c r="DV790" s="1333"/>
      <c r="DW790" s="1333"/>
      <c r="DX790" s="1333"/>
      <c r="DY790" s="1334"/>
      <c r="DZ790" s="1332">
        <f t="shared" si="49"/>
        <v>0</v>
      </c>
      <c r="EA790" s="1333"/>
      <c r="EB790" s="1333"/>
      <c r="EC790" s="1333"/>
      <c r="ED790" s="1334"/>
      <c r="EE790" s="1332">
        <f t="shared" si="50"/>
        <v>0</v>
      </c>
      <c r="EF790" s="1333"/>
      <c r="EG790" s="1333"/>
      <c r="EH790" s="1333"/>
      <c r="EI790" s="1334"/>
      <c r="EJ790" s="1332">
        <f t="shared" si="51"/>
        <v>0</v>
      </c>
      <c r="EK790" s="1333"/>
      <c r="EL790" s="1333"/>
      <c r="EM790" s="1333"/>
      <c r="EN790" s="1334"/>
      <c r="EO790" s="1332">
        <f t="shared" si="52"/>
        <v>0</v>
      </c>
      <c r="EP790" s="1333"/>
      <c r="EQ790" s="1333"/>
      <c r="ER790" s="1333"/>
      <c r="ES790" s="1334"/>
      <c r="ET790" s="1332">
        <f t="shared" si="53"/>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4"/>
      <c r="U791" s="1605"/>
      <c r="V791" s="1605"/>
      <c r="W791" s="1606"/>
      <c r="X791" s="1468"/>
      <c r="Y791" s="1469"/>
      <c r="Z791" s="1469"/>
      <c r="AA791" s="1469"/>
      <c r="AB791" s="1470"/>
      <c r="AC791" s="1358">
        <f t="shared" si="41"/>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2"/>
        <v>0</v>
      </c>
      <c r="CQ791" s="1333"/>
      <c r="CR791" s="1333"/>
      <c r="CS791" s="1333"/>
      <c r="CT791" s="1334"/>
      <c r="CU791" s="1332">
        <f t="shared" si="43"/>
        <v>0</v>
      </c>
      <c r="CV791" s="1333"/>
      <c r="CW791" s="1333"/>
      <c r="CX791" s="1333"/>
      <c r="CY791" s="1334"/>
      <c r="CZ791" s="1332">
        <f t="shared" si="44"/>
        <v>0</v>
      </c>
      <c r="DA791" s="1333"/>
      <c r="DB791" s="1333"/>
      <c r="DC791" s="1333"/>
      <c r="DD791" s="1334"/>
      <c r="DE791" s="1332">
        <f t="shared" si="45"/>
        <v>0</v>
      </c>
      <c r="DF791" s="1333"/>
      <c r="DG791" s="1333"/>
      <c r="DH791" s="1333"/>
      <c r="DI791" s="1334"/>
      <c r="DJ791" s="1332">
        <f t="shared" si="46"/>
        <v>0</v>
      </c>
      <c r="DK791" s="1333"/>
      <c r="DL791" s="1333"/>
      <c r="DM791" s="1333"/>
      <c r="DN791" s="1334"/>
      <c r="DO791" s="1332">
        <f t="shared" si="47"/>
        <v>0</v>
      </c>
      <c r="DP791" s="1333"/>
      <c r="DQ791" s="1333"/>
      <c r="DR791" s="1333"/>
      <c r="DS791" s="1334"/>
      <c r="DT791" s="6"/>
      <c r="DU791" s="1332">
        <f t="shared" si="48"/>
        <v>0</v>
      </c>
      <c r="DV791" s="1333"/>
      <c r="DW791" s="1333"/>
      <c r="DX791" s="1333"/>
      <c r="DY791" s="1334"/>
      <c r="DZ791" s="1332">
        <f t="shared" si="49"/>
        <v>0</v>
      </c>
      <c r="EA791" s="1333"/>
      <c r="EB791" s="1333"/>
      <c r="EC791" s="1333"/>
      <c r="ED791" s="1334"/>
      <c r="EE791" s="1332">
        <f t="shared" si="50"/>
        <v>0</v>
      </c>
      <c r="EF791" s="1333"/>
      <c r="EG791" s="1333"/>
      <c r="EH791" s="1333"/>
      <c r="EI791" s="1334"/>
      <c r="EJ791" s="1332">
        <f t="shared" si="51"/>
        <v>0</v>
      </c>
      <c r="EK791" s="1333"/>
      <c r="EL791" s="1333"/>
      <c r="EM791" s="1333"/>
      <c r="EN791" s="1334"/>
      <c r="EO791" s="1332">
        <f t="shared" si="52"/>
        <v>0</v>
      </c>
      <c r="EP791" s="1333"/>
      <c r="EQ791" s="1333"/>
      <c r="ER791" s="1333"/>
      <c r="ES791" s="1334"/>
      <c r="ET791" s="1332">
        <f t="shared" si="53"/>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4"/>
      <c r="U792" s="1605"/>
      <c r="V792" s="1605"/>
      <c r="W792" s="1606"/>
      <c r="X792" s="1468"/>
      <c r="Y792" s="1469"/>
      <c r="Z792" s="1469"/>
      <c r="AA792" s="1469"/>
      <c r="AB792" s="1470"/>
      <c r="AC792" s="1358">
        <f t="shared" si="41"/>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2"/>
        <v>0</v>
      </c>
      <c r="CQ792" s="1333"/>
      <c r="CR792" s="1333"/>
      <c r="CS792" s="1333"/>
      <c r="CT792" s="1334"/>
      <c r="CU792" s="1332">
        <f t="shared" si="43"/>
        <v>0</v>
      </c>
      <c r="CV792" s="1333"/>
      <c r="CW792" s="1333"/>
      <c r="CX792" s="1333"/>
      <c r="CY792" s="1334"/>
      <c r="CZ792" s="1332">
        <f t="shared" si="44"/>
        <v>0</v>
      </c>
      <c r="DA792" s="1333"/>
      <c r="DB792" s="1333"/>
      <c r="DC792" s="1333"/>
      <c r="DD792" s="1334"/>
      <c r="DE792" s="1332">
        <f t="shared" si="45"/>
        <v>0</v>
      </c>
      <c r="DF792" s="1333"/>
      <c r="DG792" s="1333"/>
      <c r="DH792" s="1333"/>
      <c r="DI792" s="1334"/>
      <c r="DJ792" s="1332">
        <f t="shared" si="46"/>
        <v>0</v>
      </c>
      <c r="DK792" s="1333"/>
      <c r="DL792" s="1333"/>
      <c r="DM792" s="1333"/>
      <c r="DN792" s="1334"/>
      <c r="DO792" s="1332">
        <f t="shared" si="47"/>
        <v>0</v>
      </c>
      <c r="DP792" s="1333"/>
      <c r="DQ792" s="1333"/>
      <c r="DR792" s="1333"/>
      <c r="DS792" s="1334"/>
      <c r="DT792" s="6"/>
      <c r="DU792" s="1332">
        <f t="shared" si="48"/>
        <v>0</v>
      </c>
      <c r="DV792" s="1333"/>
      <c r="DW792" s="1333"/>
      <c r="DX792" s="1333"/>
      <c r="DY792" s="1334"/>
      <c r="DZ792" s="1332">
        <f t="shared" si="49"/>
        <v>0</v>
      </c>
      <c r="EA792" s="1333"/>
      <c r="EB792" s="1333"/>
      <c r="EC792" s="1333"/>
      <c r="ED792" s="1334"/>
      <c r="EE792" s="1332">
        <f t="shared" si="50"/>
        <v>0</v>
      </c>
      <c r="EF792" s="1333"/>
      <c r="EG792" s="1333"/>
      <c r="EH792" s="1333"/>
      <c r="EI792" s="1334"/>
      <c r="EJ792" s="1332">
        <f t="shared" si="51"/>
        <v>0</v>
      </c>
      <c r="EK792" s="1333"/>
      <c r="EL792" s="1333"/>
      <c r="EM792" s="1333"/>
      <c r="EN792" s="1334"/>
      <c r="EO792" s="1332">
        <f t="shared" si="52"/>
        <v>0</v>
      </c>
      <c r="EP792" s="1333"/>
      <c r="EQ792" s="1333"/>
      <c r="ER792" s="1333"/>
      <c r="ES792" s="1334"/>
      <c r="ET792" s="1332">
        <f t="shared" si="53"/>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4"/>
      <c r="U793" s="1605"/>
      <c r="V793" s="1605"/>
      <c r="W793" s="1606"/>
      <c r="X793" s="1468"/>
      <c r="Y793" s="1469"/>
      <c r="Z793" s="1469"/>
      <c r="AA793" s="1469"/>
      <c r="AB793" s="1470"/>
      <c r="AC793" s="1358">
        <f t="shared" si="41"/>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2"/>
        <v>0</v>
      </c>
      <c r="CQ793" s="1333"/>
      <c r="CR793" s="1333"/>
      <c r="CS793" s="1333"/>
      <c r="CT793" s="1334"/>
      <c r="CU793" s="1332">
        <f t="shared" si="43"/>
        <v>0</v>
      </c>
      <c r="CV793" s="1333"/>
      <c r="CW793" s="1333"/>
      <c r="CX793" s="1333"/>
      <c r="CY793" s="1334"/>
      <c r="CZ793" s="1332">
        <f t="shared" si="44"/>
        <v>0</v>
      </c>
      <c r="DA793" s="1333"/>
      <c r="DB793" s="1333"/>
      <c r="DC793" s="1333"/>
      <c r="DD793" s="1334"/>
      <c r="DE793" s="1332">
        <f t="shared" si="45"/>
        <v>0</v>
      </c>
      <c r="DF793" s="1333"/>
      <c r="DG793" s="1333"/>
      <c r="DH793" s="1333"/>
      <c r="DI793" s="1334"/>
      <c r="DJ793" s="1332">
        <f t="shared" si="46"/>
        <v>0</v>
      </c>
      <c r="DK793" s="1333"/>
      <c r="DL793" s="1333"/>
      <c r="DM793" s="1333"/>
      <c r="DN793" s="1334"/>
      <c r="DO793" s="1332">
        <f t="shared" si="47"/>
        <v>0</v>
      </c>
      <c r="DP793" s="1333"/>
      <c r="DQ793" s="1333"/>
      <c r="DR793" s="1333"/>
      <c r="DS793" s="1334"/>
      <c r="DT793" s="6"/>
      <c r="DU793" s="1332">
        <f t="shared" si="48"/>
        <v>0</v>
      </c>
      <c r="DV793" s="1333"/>
      <c r="DW793" s="1333"/>
      <c r="DX793" s="1333"/>
      <c r="DY793" s="1334"/>
      <c r="DZ793" s="1332">
        <f t="shared" si="49"/>
        <v>0</v>
      </c>
      <c r="EA793" s="1333"/>
      <c r="EB793" s="1333"/>
      <c r="EC793" s="1333"/>
      <c r="ED793" s="1334"/>
      <c r="EE793" s="1332">
        <f t="shared" si="50"/>
        <v>0</v>
      </c>
      <c r="EF793" s="1333"/>
      <c r="EG793" s="1333"/>
      <c r="EH793" s="1333"/>
      <c r="EI793" s="1334"/>
      <c r="EJ793" s="1332">
        <f t="shared" si="51"/>
        <v>0</v>
      </c>
      <c r="EK793" s="1333"/>
      <c r="EL793" s="1333"/>
      <c r="EM793" s="1333"/>
      <c r="EN793" s="1334"/>
      <c r="EO793" s="1332">
        <f t="shared" si="52"/>
        <v>0</v>
      </c>
      <c r="EP793" s="1333"/>
      <c r="EQ793" s="1333"/>
      <c r="ER793" s="1333"/>
      <c r="ES793" s="1334"/>
      <c r="ET793" s="1332">
        <f t="shared" si="53"/>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4"/>
      <c r="U794" s="1605"/>
      <c r="V794" s="1605"/>
      <c r="W794" s="1606"/>
      <c r="X794" s="1468"/>
      <c r="Y794" s="1469"/>
      <c r="Z794" s="1469"/>
      <c r="AA794" s="1469"/>
      <c r="AB794" s="1470"/>
      <c r="AC794" s="1358">
        <f t="shared" si="41"/>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2"/>
        <v>0</v>
      </c>
      <c r="CQ794" s="1333"/>
      <c r="CR794" s="1333"/>
      <c r="CS794" s="1333"/>
      <c r="CT794" s="1334"/>
      <c r="CU794" s="1332">
        <f t="shared" si="43"/>
        <v>0</v>
      </c>
      <c r="CV794" s="1333"/>
      <c r="CW794" s="1333"/>
      <c r="CX794" s="1333"/>
      <c r="CY794" s="1334"/>
      <c r="CZ794" s="1332">
        <f t="shared" si="44"/>
        <v>0</v>
      </c>
      <c r="DA794" s="1333"/>
      <c r="DB794" s="1333"/>
      <c r="DC794" s="1333"/>
      <c r="DD794" s="1334"/>
      <c r="DE794" s="1332">
        <f t="shared" si="45"/>
        <v>0</v>
      </c>
      <c r="DF794" s="1333"/>
      <c r="DG794" s="1333"/>
      <c r="DH794" s="1333"/>
      <c r="DI794" s="1334"/>
      <c r="DJ794" s="1332">
        <f t="shared" si="46"/>
        <v>0</v>
      </c>
      <c r="DK794" s="1333"/>
      <c r="DL794" s="1333"/>
      <c r="DM794" s="1333"/>
      <c r="DN794" s="1334"/>
      <c r="DO794" s="1332">
        <f t="shared" si="47"/>
        <v>0</v>
      </c>
      <c r="DP794" s="1333"/>
      <c r="DQ794" s="1333"/>
      <c r="DR794" s="1333"/>
      <c r="DS794" s="1334"/>
      <c r="DT794" s="6"/>
      <c r="DU794" s="1332">
        <f t="shared" si="48"/>
        <v>0</v>
      </c>
      <c r="DV794" s="1333"/>
      <c r="DW794" s="1333"/>
      <c r="DX794" s="1333"/>
      <c r="DY794" s="1334"/>
      <c r="DZ794" s="1332">
        <f t="shared" si="49"/>
        <v>0</v>
      </c>
      <c r="EA794" s="1333"/>
      <c r="EB794" s="1333"/>
      <c r="EC794" s="1333"/>
      <c r="ED794" s="1334"/>
      <c r="EE794" s="1332">
        <f t="shared" si="50"/>
        <v>0</v>
      </c>
      <c r="EF794" s="1333"/>
      <c r="EG794" s="1333"/>
      <c r="EH794" s="1333"/>
      <c r="EI794" s="1334"/>
      <c r="EJ794" s="1332">
        <f t="shared" si="51"/>
        <v>0</v>
      </c>
      <c r="EK794" s="1333"/>
      <c r="EL794" s="1333"/>
      <c r="EM794" s="1333"/>
      <c r="EN794" s="1334"/>
      <c r="EO794" s="1332">
        <f t="shared" si="52"/>
        <v>0</v>
      </c>
      <c r="EP794" s="1333"/>
      <c r="EQ794" s="1333"/>
      <c r="ER794" s="1333"/>
      <c r="ES794" s="1334"/>
      <c r="ET794" s="1332">
        <f t="shared" si="53"/>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4"/>
      <c r="U795" s="1605"/>
      <c r="V795" s="1605"/>
      <c r="W795" s="1606"/>
      <c r="X795" s="1468"/>
      <c r="Y795" s="1469"/>
      <c r="Z795" s="1469"/>
      <c r="AA795" s="1469"/>
      <c r="AB795" s="1470"/>
      <c r="AC795" s="1358">
        <f t="shared" si="41"/>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2"/>
        <v>0</v>
      </c>
      <c r="CQ795" s="1333"/>
      <c r="CR795" s="1333"/>
      <c r="CS795" s="1333"/>
      <c r="CT795" s="1334"/>
      <c r="CU795" s="1332">
        <f t="shared" si="43"/>
        <v>0</v>
      </c>
      <c r="CV795" s="1333"/>
      <c r="CW795" s="1333"/>
      <c r="CX795" s="1333"/>
      <c r="CY795" s="1334"/>
      <c r="CZ795" s="1332">
        <f t="shared" si="44"/>
        <v>0</v>
      </c>
      <c r="DA795" s="1333"/>
      <c r="DB795" s="1333"/>
      <c r="DC795" s="1333"/>
      <c r="DD795" s="1334"/>
      <c r="DE795" s="1332">
        <f t="shared" si="45"/>
        <v>0</v>
      </c>
      <c r="DF795" s="1333"/>
      <c r="DG795" s="1333"/>
      <c r="DH795" s="1333"/>
      <c r="DI795" s="1334"/>
      <c r="DJ795" s="1332">
        <f t="shared" si="46"/>
        <v>0</v>
      </c>
      <c r="DK795" s="1333"/>
      <c r="DL795" s="1333"/>
      <c r="DM795" s="1333"/>
      <c r="DN795" s="1334"/>
      <c r="DO795" s="1332">
        <f t="shared" si="47"/>
        <v>0</v>
      </c>
      <c r="DP795" s="1333"/>
      <c r="DQ795" s="1333"/>
      <c r="DR795" s="1333"/>
      <c r="DS795" s="1334"/>
      <c r="DT795" s="6"/>
      <c r="DU795" s="1332">
        <f t="shared" si="48"/>
        <v>0</v>
      </c>
      <c r="DV795" s="1333"/>
      <c r="DW795" s="1333"/>
      <c r="DX795" s="1333"/>
      <c r="DY795" s="1334"/>
      <c r="DZ795" s="1332">
        <f t="shared" si="49"/>
        <v>0</v>
      </c>
      <c r="EA795" s="1333"/>
      <c r="EB795" s="1333"/>
      <c r="EC795" s="1333"/>
      <c r="ED795" s="1334"/>
      <c r="EE795" s="1332">
        <f t="shared" si="50"/>
        <v>0</v>
      </c>
      <c r="EF795" s="1333"/>
      <c r="EG795" s="1333"/>
      <c r="EH795" s="1333"/>
      <c r="EI795" s="1334"/>
      <c r="EJ795" s="1332">
        <f t="shared" si="51"/>
        <v>0</v>
      </c>
      <c r="EK795" s="1333"/>
      <c r="EL795" s="1333"/>
      <c r="EM795" s="1333"/>
      <c r="EN795" s="1334"/>
      <c r="EO795" s="1332">
        <f t="shared" si="52"/>
        <v>0</v>
      </c>
      <c r="EP795" s="1333"/>
      <c r="EQ795" s="1333"/>
      <c r="ER795" s="1333"/>
      <c r="ES795" s="1334"/>
      <c r="ET795" s="1332">
        <f t="shared" si="53"/>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4"/>
      <c r="U796" s="1605"/>
      <c r="V796" s="1605"/>
      <c r="W796" s="1606"/>
      <c r="X796" s="1468"/>
      <c r="Y796" s="1469"/>
      <c r="Z796" s="1469"/>
      <c r="AA796" s="1469"/>
      <c r="AB796" s="1470"/>
      <c r="AC796" s="1358">
        <f t="shared" si="41"/>
        <v>0</v>
      </c>
      <c r="AD796" s="1359"/>
      <c r="AE796" s="1359"/>
      <c r="AF796" s="1359"/>
      <c r="AG796" s="1360"/>
      <c r="AH796"/>
      <c r="AI796"/>
      <c r="AJ796"/>
      <c r="AK796"/>
      <c r="AL796"/>
      <c r="AM796"/>
      <c r="AN796"/>
      <c r="AO796"/>
      <c r="AP796"/>
      <c r="AQ796"/>
      <c r="AR796"/>
      <c r="AS796"/>
      <c r="AT796"/>
      <c r="AU796"/>
      <c r="AV796"/>
      <c r="AW796"/>
      <c r="AX796"/>
      <c r="AY796"/>
      <c r="AZ796" s="3"/>
      <c r="CP796" s="1332">
        <f t="shared" si="42"/>
        <v>0</v>
      </c>
      <c r="CQ796" s="1333"/>
      <c r="CR796" s="1333"/>
      <c r="CS796" s="1333"/>
      <c r="CT796" s="1334"/>
      <c r="CU796" s="1332">
        <f t="shared" si="43"/>
        <v>0</v>
      </c>
      <c r="CV796" s="1333"/>
      <c r="CW796" s="1333"/>
      <c r="CX796" s="1333"/>
      <c r="CY796" s="1334"/>
      <c r="CZ796" s="1332">
        <f t="shared" si="44"/>
        <v>0</v>
      </c>
      <c r="DA796" s="1333"/>
      <c r="DB796" s="1333"/>
      <c r="DC796" s="1333"/>
      <c r="DD796" s="1334"/>
      <c r="DE796" s="1332">
        <f t="shared" si="45"/>
        <v>0</v>
      </c>
      <c r="DF796" s="1333"/>
      <c r="DG796" s="1333"/>
      <c r="DH796" s="1333"/>
      <c r="DI796" s="1334"/>
      <c r="DJ796" s="1332">
        <f t="shared" si="46"/>
        <v>0</v>
      </c>
      <c r="DK796" s="1333"/>
      <c r="DL796" s="1333"/>
      <c r="DM796" s="1333"/>
      <c r="DN796" s="1334"/>
      <c r="DO796" s="1332">
        <f t="shared" si="47"/>
        <v>0</v>
      </c>
      <c r="DP796" s="1333"/>
      <c r="DQ796" s="1333"/>
      <c r="DR796" s="1333"/>
      <c r="DS796" s="1334"/>
      <c r="DT796" s="6"/>
      <c r="DU796" s="1332">
        <f t="shared" si="48"/>
        <v>0</v>
      </c>
      <c r="DV796" s="1333"/>
      <c r="DW796" s="1333"/>
      <c r="DX796" s="1333"/>
      <c r="DY796" s="1334"/>
      <c r="DZ796" s="1332">
        <f t="shared" si="49"/>
        <v>0</v>
      </c>
      <c r="EA796" s="1333"/>
      <c r="EB796" s="1333"/>
      <c r="EC796" s="1333"/>
      <c r="ED796" s="1334"/>
      <c r="EE796" s="1332">
        <f t="shared" si="50"/>
        <v>0</v>
      </c>
      <c r="EF796" s="1333"/>
      <c r="EG796" s="1333"/>
      <c r="EH796" s="1333"/>
      <c r="EI796" s="1334"/>
      <c r="EJ796" s="1332">
        <f t="shared" si="51"/>
        <v>0</v>
      </c>
      <c r="EK796" s="1333"/>
      <c r="EL796" s="1333"/>
      <c r="EM796" s="1333"/>
      <c r="EN796" s="1334"/>
      <c r="EO796" s="1332">
        <f t="shared" si="52"/>
        <v>0</v>
      </c>
      <c r="EP796" s="1333"/>
      <c r="EQ796" s="1333"/>
      <c r="ER796" s="1333"/>
      <c r="ES796" s="1334"/>
      <c r="ET796" s="1332">
        <f t="shared" si="53"/>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4">
        <f>SUM(O787:S796)</f>
        <v>0</v>
      </c>
      <c r="P797" s="1624"/>
      <c r="Q797" s="1624"/>
      <c r="R797" s="1624"/>
      <c r="S797" s="1624"/>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108752.59999999999</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1305031.2</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30</v>
      </c>
      <c r="CV802" s="1349"/>
      <c r="CW802" s="1349"/>
      <c r="CX802" s="1349"/>
      <c r="CY802" s="1350"/>
      <c r="CZ802" s="1348">
        <f>CZ753+CZ777+CZ797</f>
        <v>18</v>
      </c>
      <c r="DA802" s="1349"/>
      <c r="DB802" s="1349"/>
      <c r="DC802" s="1349"/>
      <c r="DD802" s="1350"/>
      <c r="DE802" s="1348">
        <f>DE753+DE777+DE797</f>
        <v>17</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114</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c r="AA808" s="1520"/>
      <c r="AB808" s="1520"/>
      <c r="AC808" s="1520"/>
      <c r="AD808" s="1520"/>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9360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2" t="s">
        <v>2742</v>
      </c>
      <c r="Q816" s="1643"/>
      <c r="R816" s="1643"/>
      <c r="S816" s="1643"/>
      <c r="T816" s="1643"/>
      <c r="U816" s="1643"/>
      <c r="V816" s="1643"/>
      <c r="W816" s="1643"/>
      <c r="X816" s="1643"/>
      <c r="Y816" s="1644"/>
      <c r="Z816" s="1475">
        <v>3120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12480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1317511.2</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7" t="s">
        <v>126</v>
      </c>
      <c r="N823" s="1687"/>
      <c r="O823" s="1687"/>
      <c r="P823" s="1688"/>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6" t="s">
        <v>335</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9"/>
      <c r="N824" s="1689"/>
      <c r="O824" s="1689"/>
      <c r="P824" s="1690"/>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3" t="s">
        <v>40</v>
      </c>
      <c r="D825" s="1483"/>
      <c r="E825" s="1483"/>
      <c r="F825" s="1483"/>
      <c r="G825" s="1483"/>
      <c r="H825" s="1483"/>
      <c r="I825" s="48"/>
      <c r="J825" s="48"/>
      <c r="K825" s="48"/>
      <c r="L825" s="49"/>
      <c r="M825" s="1600"/>
      <c r="N825" s="1600"/>
      <c r="O825" s="1600"/>
      <c r="P825" s="1600"/>
      <c r="Q825" s="1600">
        <v>31</v>
      </c>
      <c r="R825" s="1600"/>
      <c r="S825" s="1600"/>
      <c r="T825" s="1600"/>
      <c r="U825" s="1600">
        <v>39</v>
      </c>
      <c r="V825" s="1600"/>
      <c r="W825" s="1600"/>
      <c r="X825" s="1600"/>
      <c r="Y825" s="1600">
        <v>48</v>
      </c>
      <c r="Z825" s="1600"/>
      <c r="AA825" s="1600"/>
      <c r="AB825" s="1600"/>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0"/>
      <c r="N826" s="1600"/>
      <c r="O826" s="1600"/>
      <c r="P826" s="1600"/>
      <c r="Q826" s="1600"/>
      <c r="R826" s="1600"/>
      <c r="S826" s="1600"/>
      <c r="T826" s="1600"/>
      <c r="U826" s="1600"/>
      <c r="V826" s="1600"/>
      <c r="W826" s="1600"/>
      <c r="X826" s="1600"/>
      <c r="Y826" s="1600"/>
      <c r="Z826" s="1600"/>
      <c r="AA826" s="1600"/>
      <c r="AB826" s="1600"/>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0"/>
      <c r="N827" s="1600"/>
      <c r="O827" s="1600"/>
      <c r="P827" s="1600"/>
      <c r="Q827" s="1600">
        <v>13</v>
      </c>
      <c r="R827" s="1600"/>
      <c r="S827" s="1600"/>
      <c r="T827" s="1600"/>
      <c r="U827" s="1600">
        <v>18</v>
      </c>
      <c r="V827" s="1600"/>
      <c r="W827" s="1600"/>
      <c r="X827" s="1600"/>
      <c r="Y827" s="1600">
        <v>24</v>
      </c>
      <c r="Z827" s="1600"/>
      <c r="AA827" s="1600"/>
      <c r="AB827" s="1600"/>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762</v>
      </c>
      <c r="D828" s="1441"/>
      <c r="E828" s="1441"/>
      <c r="F828" s="1441"/>
      <c r="G828" s="1441"/>
      <c r="H828" s="1441"/>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459</v>
      </c>
      <c r="D829" s="1441"/>
      <c r="E829" s="1441"/>
      <c r="F829" s="1441"/>
      <c r="G829" s="1441"/>
      <c r="H829" s="1441"/>
      <c r="I829" s="60"/>
      <c r="J829" s="60"/>
      <c r="K829" s="60"/>
      <c r="L829" s="61"/>
      <c r="M829" s="1600"/>
      <c r="N829" s="1600"/>
      <c r="O829" s="1600"/>
      <c r="P829" s="1600"/>
      <c r="Q829" s="1600">
        <v>42</v>
      </c>
      <c r="R829" s="1600"/>
      <c r="S829" s="1600"/>
      <c r="T829" s="1600"/>
      <c r="U829" s="1600">
        <v>62</v>
      </c>
      <c r="V829" s="1600"/>
      <c r="W829" s="1600"/>
      <c r="X829" s="1600"/>
      <c r="Y829" s="1600">
        <v>85</v>
      </c>
      <c r="Z829" s="1600"/>
      <c r="AA829" s="1600"/>
      <c r="AB829" s="1600"/>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2" t="s">
        <v>783</v>
      </c>
      <c r="D830" s="1441"/>
      <c r="E830" s="1441"/>
      <c r="F830" s="1441"/>
      <c r="G830" s="1441"/>
      <c r="H830" s="1441"/>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2" t="s">
        <v>334</v>
      </c>
      <c r="G831" s="1643"/>
      <c r="H831" s="1643"/>
      <c r="I831" s="1643"/>
      <c r="J831" s="1643"/>
      <c r="K831" s="1643"/>
      <c r="L831" s="1643"/>
      <c r="M831" s="1600"/>
      <c r="N831" s="1600"/>
      <c r="O831" s="1600"/>
      <c r="P831" s="1600"/>
      <c r="Q831" s="1600"/>
      <c r="R831" s="1600"/>
      <c r="S831" s="1600"/>
      <c r="T831" s="1600"/>
      <c r="U831" s="1600"/>
      <c r="V831" s="1600"/>
      <c r="W831" s="1600"/>
      <c r="X831" s="1600"/>
      <c r="Y831" s="1600"/>
      <c r="Z831" s="1600"/>
      <c r="AA831" s="1600"/>
      <c r="AB831" s="1600"/>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9">
        <f>SUM(M825:P831)</f>
        <v>0</v>
      </c>
      <c r="N832" s="1649"/>
      <c r="O832" s="1649"/>
      <c r="P832" s="1649"/>
      <c r="Q832" s="1649">
        <f>SUM(Q825:T831)</f>
        <v>86</v>
      </c>
      <c r="R832" s="1649"/>
      <c r="S832" s="1649"/>
      <c r="T832" s="1649"/>
      <c r="U832" s="1649">
        <f>SUM(U825:X831)</f>
        <v>119</v>
      </c>
      <c r="V832" s="1649"/>
      <c r="W832" s="1649"/>
      <c r="X832" s="1649"/>
      <c r="Y832" s="1649">
        <f>SUM(Y825:AB831)</f>
        <v>157</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5" t="s">
        <v>2729</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8">
        <v>15000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8">
        <v>7000</v>
      </c>
      <c r="X843" s="1638">
        <v>650</v>
      </c>
      <c r="Y843" s="1638">
        <v>650</v>
      </c>
      <c r="Z843" s="1638">
        <v>650</v>
      </c>
      <c r="AA843" s="1638">
        <v>650</v>
      </c>
      <c r="AB843" s="1638">
        <v>650</v>
      </c>
      <c r="AC843" s="1638">
        <v>650</v>
      </c>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8">
        <v>14000</v>
      </c>
      <c r="X844" s="1638">
        <v>17355</v>
      </c>
      <c r="Y844" s="1638">
        <v>17355</v>
      </c>
      <c r="Z844" s="1638">
        <v>17355</v>
      </c>
      <c r="AA844" s="1638">
        <v>17355</v>
      </c>
      <c r="AB844" s="1638">
        <v>17355</v>
      </c>
      <c r="AC844" s="1638">
        <v>17355</v>
      </c>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8">
        <v>0</v>
      </c>
      <c r="X845" s="1638">
        <v>9100</v>
      </c>
      <c r="Y845" s="1638">
        <v>9100</v>
      </c>
      <c r="Z845" s="1638">
        <v>9100</v>
      </c>
      <c r="AA845" s="1638">
        <v>9100</v>
      </c>
      <c r="AB845" s="1638">
        <v>9100</v>
      </c>
      <c r="AC845" s="1638">
        <v>9100</v>
      </c>
      <c r="AZ845" s="30"/>
      <c r="BA845" s="30"/>
      <c r="BB845" s="14"/>
      <c r="BC845" s="14"/>
      <c r="BD845" s="14"/>
      <c r="BE845" s="14"/>
      <c r="BF845" s="14"/>
      <c r="BG845" s="14"/>
      <c r="BH845" s="14"/>
      <c r="BI845" s="14"/>
      <c r="BJ845" s="14"/>
      <c r="BK845" s="14"/>
      <c r="BL845" s="14"/>
    </row>
    <row r="846" spans="1:64" ht="12.95" customHeight="1">
      <c r="J846" s="45" t="s">
        <v>170</v>
      </c>
      <c r="K846" s="5"/>
      <c r="L846" s="5"/>
      <c r="M846" s="1642" t="s">
        <v>2743</v>
      </c>
      <c r="N846" s="1643"/>
      <c r="O846" s="1643"/>
      <c r="P846" s="1643"/>
      <c r="Q846" s="1643"/>
      <c r="R846" s="1643"/>
      <c r="S846" s="1643"/>
      <c r="T846" s="1643"/>
      <c r="U846" s="1643"/>
      <c r="V846" s="1644"/>
      <c r="W846" s="1638">
        <v>17000</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53000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344</v>
      </c>
      <c r="J849" s="1408" t="s">
        <v>345</v>
      </c>
      <c r="K849" s="1409"/>
      <c r="L849" s="1409"/>
      <c r="M849" s="1409"/>
      <c r="N849" s="1409"/>
      <c r="O849" s="1409"/>
      <c r="P849" s="1409"/>
      <c r="Q849" s="1409"/>
      <c r="R849" s="1409"/>
      <c r="S849" s="1409"/>
      <c r="T849" s="1409"/>
      <c r="U849" s="1409"/>
      <c r="V849" s="1411"/>
      <c r="W849" s="1475">
        <f>1200*65</f>
        <v>78000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2.95" customHeight="1">
      <c r="J852" s="45" t="s">
        <v>351</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80000</v>
      </c>
      <c r="X853" s="1653">
        <v>31005</v>
      </c>
      <c r="Y853" s="1653">
        <v>31005</v>
      </c>
      <c r="Z853" s="1653">
        <v>31005</v>
      </c>
      <c r="AA853" s="1653">
        <v>31005</v>
      </c>
      <c r="AB853" s="1653">
        <v>31005</v>
      </c>
      <c r="AC853" s="1653">
        <v>31005</v>
      </c>
      <c r="AZ853" s="30"/>
      <c r="BA853" s="30"/>
      <c r="BB853" s="14"/>
      <c r="BC853" s="14"/>
    </row>
    <row r="854" spans="3:55" ht="12.95" customHeight="1">
      <c r="J854" s="62" t="s">
        <v>620</v>
      </c>
      <c r="K854" s="5"/>
      <c r="L854" s="5"/>
      <c r="M854" s="5"/>
      <c r="N854" s="5"/>
      <c r="O854" s="5"/>
      <c r="P854" s="5"/>
      <c r="Q854" s="5"/>
      <c r="R854" s="5"/>
      <c r="S854" s="5"/>
      <c r="T854" s="5"/>
      <c r="U854" s="5"/>
      <c r="V854" s="46"/>
      <c r="W854" s="1653">
        <v>80000</v>
      </c>
      <c r="X854" s="1653">
        <v>57850</v>
      </c>
      <c r="Y854" s="1653">
        <v>57850</v>
      </c>
      <c r="Z854" s="1653">
        <v>57850</v>
      </c>
      <c r="AA854" s="1653">
        <v>57850</v>
      </c>
      <c r="AB854" s="1653">
        <v>57850</v>
      </c>
      <c r="AC854" s="1653">
        <v>57850</v>
      </c>
      <c r="AZ854" s="34"/>
      <c r="BA854" s="34"/>
      <c r="BB854" s="34"/>
      <c r="BC854" s="34"/>
    </row>
    <row r="855" spans="3:55" ht="12.95" customHeight="1">
      <c r="J855" s="63"/>
      <c r="K855" s="48"/>
      <c r="L855" s="48"/>
      <c r="M855" s="48"/>
      <c r="N855" s="48"/>
      <c r="O855" s="48"/>
      <c r="P855" s="48"/>
      <c r="Q855" s="48"/>
      <c r="R855" s="48"/>
      <c r="S855" s="48"/>
      <c r="T855" s="48"/>
      <c r="U855" s="48"/>
      <c r="V855" s="54" t="s">
        <v>272</v>
      </c>
      <c r="W855" s="1654">
        <f>SUM(W851:W854)</f>
        <v>160000</v>
      </c>
      <c r="X855" s="1654"/>
      <c r="Y855" s="1654"/>
      <c r="Z855" s="1654"/>
      <c r="AA855" s="1654"/>
      <c r="AB855" s="1654"/>
      <c r="AC855" s="1654"/>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50">
        <v>120000</v>
      </c>
      <c r="X857" s="1651"/>
      <c r="Y857" s="1651"/>
      <c r="Z857" s="1651"/>
      <c r="AA857" s="1651"/>
      <c r="AB857" s="1651"/>
      <c r="AC857" s="1652"/>
      <c r="AD857" s="528"/>
      <c r="AZ857" s="34"/>
      <c r="BA857" s="34"/>
      <c r="BB857" s="34"/>
      <c r="BC857" s="34"/>
    </row>
    <row r="858" spans="3:55" ht="12.95" customHeight="1">
      <c r="C858" s="2" t="s">
        <v>347</v>
      </c>
      <c r="J858" s="121" t="s">
        <v>1655</v>
      </c>
      <c r="K858" s="5"/>
      <c r="L858" s="5"/>
      <c r="M858" s="5"/>
      <c r="N858" s="5"/>
      <c r="O858" s="5"/>
      <c r="P858" s="5"/>
      <c r="Q858" s="5"/>
      <c r="R858" s="5"/>
      <c r="S858" s="5"/>
      <c r="T858" s="1636">
        <v>2</v>
      </c>
      <c r="U858" s="1599"/>
      <c r="V858" s="1637"/>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0">
        <v>98000</v>
      </c>
      <c r="X859" s="1651"/>
      <c r="Y859" s="1651"/>
      <c r="Z859" s="1651"/>
      <c r="AA859" s="1651"/>
      <c r="AB859" s="1651"/>
      <c r="AC859" s="1652"/>
      <c r="AD859" s="533"/>
      <c r="AZ859" s="34"/>
      <c r="BA859" s="34"/>
      <c r="BB859" s="34"/>
      <c r="BC859" s="34"/>
    </row>
    <row r="860" spans="3:55" ht="12.95" customHeight="1">
      <c r="C860" s="2"/>
      <c r="J860" s="121" t="s">
        <v>1656</v>
      </c>
      <c r="K860" s="5"/>
      <c r="L860" s="5"/>
      <c r="M860" s="5"/>
      <c r="N860" s="5"/>
      <c r="O860" s="5"/>
      <c r="P860" s="5"/>
      <c r="Q860" s="5"/>
      <c r="R860" s="5"/>
      <c r="S860" s="5"/>
      <c r="T860" s="1636">
        <v>1</v>
      </c>
      <c r="U860" s="1599"/>
      <c r="V860" s="1637"/>
      <c r="W860" s="874"/>
      <c r="X860" s="875"/>
      <c r="Y860" s="875"/>
      <c r="Z860" s="875"/>
      <c r="AA860" s="875"/>
      <c r="AB860" s="875"/>
      <c r="AC860" s="876"/>
      <c r="AD860" s="533"/>
      <c r="AZ860" s="34"/>
      <c r="BA860" s="34"/>
      <c r="BB860" s="34"/>
      <c r="BC860" s="34"/>
    </row>
    <row r="861" spans="3:55" ht="12.95" customHeight="1">
      <c r="J861" s="45" t="s">
        <v>170</v>
      </c>
      <c r="K861" s="5"/>
      <c r="L861" s="5"/>
      <c r="M861" s="1642" t="s">
        <v>2744</v>
      </c>
      <c r="N861" s="1643"/>
      <c r="O861" s="1643"/>
      <c r="P861" s="1643"/>
      <c r="Q861" s="1643"/>
      <c r="R861" s="1643"/>
      <c r="S861" s="1643"/>
      <c r="T861" s="1643"/>
      <c r="U861" s="1643"/>
      <c r="V861" s="1644"/>
      <c r="W861" s="1650">
        <v>32435</v>
      </c>
      <c r="X861" s="1651"/>
      <c r="Y861" s="1651"/>
      <c r="Z861" s="1651"/>
      <c r="AA861" s="1651"/>
      <c r="AB861" s="1651"/>
      <c r="AC861" s="165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9">
        <f>SUM(W857:W861)</f>
        <v>250435</v>
      </c>
      <c r="X862" s="1640"/>
      <c r="Y862" s="1640"/>
      <c r="Z862" s="1640"/>
      <c r="AA862" s="1640"/>
      <c r="AB862" s="1640"/>
      <c r="AC862" s="1641"/>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0">
        <v>96000</v>
      </c>
      <c r="X863" s="1651"/>
      <c r="Y863" s="1651"/>
      <c r="Z863" s="1651"/>
      <c r="AA863" s="1651"/>
      <c r="AB863" s="1651"/>
      <c r="AC863" s="1652"/>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38">
        <v>30000</v>
      </c>
      <c r="X865" s="1638">
        <v>39536</v>
      </c>
      <c r="Y865" s="1638">
        <v>39536</v>
      </c>
      <c r="Z865" s="1638">
        <v>39536</v>
      </c>
      <c r="AA865" s="1638">
        <v>39536</v>
      </c>
      <c r="AB865" s="1638">
        <v>39536</v>
      </c>
      <c r="AC865" s="1638">
        <v>39536</v>
      </c>
      <c r="AU865" s="14"/>
      <c r="AZ865" s="34"/>
      <c r="BA865" s="34"/>
      <c r="BB865" s="34"/>
      <c r="BC865" s="34"/>
    </row>
    <row r="866" spans="3:55" ht="12.95" customHeight="1">
      <c r="J866" s="45" t="s">
        <v>522</v>
      </c>
      <c r="K866" s="5"/>
      <c r="L866" s="5"/>
      <c r="M866" s="5"/>
      <c r="N866" s="5"/>
      <c r="O866" s="5"/>
      <c r="P866" s="5"/>
      <c r="Q866" s="5"/>
      <c r="R866" s="5"/>
      <c r="S866" s="5"/>
      <c r="T866" s="5"/>
      <c r="U866" s="5"/>
      <c r="V866" s="46"/>
      <c r="W866" s="1638">
        <v>34065</v>
      </c>
      <c r="X866" s="1638">
        <v>3315.0000000000005</v>
      </c>
      <c r="Y866" s="1638">
        <v>3315.0000000000005</v>
      </c>
      <c r="Z866" s="1638">
        <v>3315.0000000000005</v>
      </c>
      <c r="AA866" s="1638">
        <v>3315.0000000000005</v>
      </c>
      <c r="AB866" s="1638">
        <v>3315.0000000000005</v>
      </c>
      <c r="AC866" s="1638">
        <v>3315.0000000000005</v>
      </c>
      <c r="AU866" s="4"/>
      <c r="AZ866" s="34"/>
      <c r="BA866" s="34"/>
      <c r="BB866" s="34"/>
      <c r="BC866" s="34"/>
    </row>
    <row r="867" spans="3:55" ht="12.95" customHeight="1">
      <c r="J867" s="45" t="s">
        <v>521</v>
      </c>
      <c r="K867" s="5"/>
      <c r="L867" s="5"/>
      <c r="M867" s="5"/>
      <c r="N867" s="5"/>
      <c r="O867" s="5"/>
      <c r="P867" s="5"/>
      <c r="Q867" s="5"/>
      <c r="R867" s="5"/>
      <c r="S867" s="5"/>
      <c r="T867" s="5"/>
      <c r="U867" s="5"/>
      <c r="V867" s="46"/>
      <c r="W867" s="1638">
        <v>26000</v>
      </c>
      <c r="X867" s="1638">
        <v>25415</v>
      </c>
      <c r="Y867" s="1638">
        <v>25415</v>
      </c>
      <c r="Z867" s="1638">
        <v>25415</v>
      </c>
      <c r="AA867" s="1638">
        <v>25415</v>
      </c>
      <c r="AB867" s="1638">
        <v>25415</v>
      </c>
      <c r="AC867" s="1638">
        <v>25415</v>
      </c>
      <c r="AU867" s="4"/>
      <c r="AZ867" s="34"/>
      <c r="BA867" s="34"/>
      <c r="BB867" s="34"/>
      <c r="BC867" s="34"/>
    </row>
    <row r="868" spans="3:55" ht="12.95" customHeight="1">
      <c r="J868" s="45" t="s">
        <v>520</v>
      </c>
      <c r="K868" s="5"/>
      <c r="L868" s="5"/>
      <c r="M868" s="5"/>
      <c r="N868" s="5"/>
      <c r="O868" s="5"/>
      <c r="P868" s="5"/>
      <c r="Q868" s="5"/>
      <c r="R868" s="5"/>
      <c r="S868" s="5"/>
      <c r="T868" s="5"/>
      <c r="U868" s="5"/>
      <c r="V868" s="46"/>
      <c r="W868" s="1638">
        <v>8000</v>
      </c>
      <c r="X868" s="1638"/>
      <c r="Y868" s="1638"/>
      <c r="Z868" s="1638"/>
      <c r="AA868" s="1638"/>
      <c r="AB868" s="1638"/>
      <c r="AC868" s="1638"/>
      <c r="AU868" s="4"/>
      <c r="AZ868" s="34"/>
      <c r="BA868" s="34"/>
      <c r="BB868" s="34"/>
      <c r="BC868" s="34"/>
    </row>
    <row r="869" spans="3:55" ht="12.95" customHeight="1">
      <c r="J869" s="45" t="s">
        <v>519</v>
      </c>
      <c r="K869" s="5"/>
      <c r="L869" s="5"/>
      <c r="M869" s="5"/>
      <c r="N869" s="5"/>
      <c r="O869" s="5"/>
      <c r="P869" s="5"/>
      <c r="Q869" s="5"/>
      <c r="R869" s="5"/>
      <c r="S869" s="5"/>
      <c r="T869" s="5"/>
      <c r="U869" s="5"/>
      <c r="V869" s="46"/>
      <c r="W869" s="1638">
        <v>10000</v>
      </c>
      <c r="X869" s="1638"/>
      <c r="Y869" s="1638"/>
      <c r="Z869" s="1638"/>
      <c r="AA869" s="1638"/>
      <c r="AB869" s="1638"/>
      <c r="AC869" s="1638"/>
      <c r="AU869" s="4"/>
      <c r="AZ869" s="34"/>
      <c r="BA869" s="34"/>
      <c r="BB869" s="34"/>
      <c r="BC869" s="34"/>
    </row>
    <row r="870" spans="3:55" ht="12.95" customHeight="1">
      <c r="J870" s="45" t="s">
        <v>518</v>
      </c>
      <c r="K870" s="5"/>
      <c r="L870" s="5"/>
      <c r="M870" s="5"/>
      <c r="N870" s="5"/>
      <c r="O870" s="5"/>
      <c r="P870" s="5"/>
      <c r="Q870" s="5"/>
      <c r="R870" s="5"/>
      <c r="S870" s="5"/>
      <c r="T870" s="5"/>
      <c r="U870" s="5"/>
      <c r="V870" s="46"/>
      <c r="W870" s="1638">
        <v>17500</v>
      </c>
      <c r="X870" s="1638">
        <v>650</v>
      </c>
      <c r="Y870" s="1638">
        <v>650</v>
      </c>
      <c r="Z870" s="1638">
        <v>650</v>
      </c>
      <c r="AA870" s="1638">
        <v>650</v>
      </c>
      <c r="AB870" s="1638">
        <v>650</v>
      </c>
      <c r="AC870" s="1638">
        <v>650</v>
      </c>
      <c r="AU870" s="4"/>
      <c r="AZ870" s="34"/>
      <c r="BA870" s="34"/>
      <c r="BB870" s="34"/>
      <c r="BC870" s="34"/>
    </row>
    <row r="871" spans="3:55" ht="12.95" customHeight="1">
      <c r="J871" s="45" t="s">
        <v>170</v>
      </c>
      <c r="K871" s="5"/>
      <c r="L871" s="5"/>
      <c r="M871" s="1642" t="s">
        <v>2745</v>
      </c>
      <c r="N871" s="1643"/>
      <c r="O871" s="1643"/>
      <c r="P871" s="1643"/>
      <c r="Q871" s="1643"/>
      <c r="R871" s="1643"/>
      <c r="S871" s="1643"/>
      <c r="T871" s="1643"/>
      <c r="U871" s="1643"/>
      <c r="V871" s="1644"/>
      <c r="W871" s="1638">
        <v>12000</v>
      </c>
      <c r="X871" s="1638">
        <v>35750</v>
      </c>
      <c r="Y871" s="1638">
        <v>35750</v>
      </c>
      <c r="Z871" s="1638">
        <v>35750</v>
      </c>
      <c r="AA871" s="1638">
        <v>35750</v>
      </c>
      <c r="AB871" s="1638">
        <v>35750</v>
      </c>
      <c r="AC871" s="1638">
        <v>35750</v>
      </c>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1">
        <f>SUM(W865:W871)</f>
        <v>137565</v>
      </c>
      <c r="X872" s="1601"/>
      <c r="Y872" s="1601"/>
      <c r="Z872" s="1601"/>
      <c r="AA872" s="1601"/>
      <c r="AB872" s="1601"/>
      <c r="AC872" s="1601"/>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2" t="s">
        <v>334</v>
      </c>
      <c r="N874" s="1643"/>
      <c r="O874" s="1643"/>
      <c r="P874" s="1643"/>
      <c r="Q874" s="1643"/>
      <c r="R874" s="1643"/>
      <c r="S874" s="1643"/>
      <c r="T874" s="1643"/>
      <c r="U874" s="1643"/>
      <c r="V874" s="1644"/>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170</v>
      </c>
      <c r="K875" s="5"/>
      <c r="L875" s="5"/>
      <c r="M875" s="1642" t="s">
        <v>334</v>
      </c>
      <c r="N875" s="1643"/>
      <c r="O875" s="1643"/>
      <c r="P875" s="1643"/>
      <c r="Q875" s="1643"/>
      <c r="R875" s="1643"/>
      <c r="S875" s="1643"/>
      <c r="T875" s="1643"/>
      <c r="U875" s="1643"/>
      <c r="V875" s="1644"/>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2" t="s">
        <v>334</v>
      </c>
      <c r="N876" s="1643"/>
      <c r="O876" s="1643"/>
      <c r="P876" s="1643"/>
      <c r="Q876" s="1643"/>
      <c r="R876" s="1643"/>
      <c r="S876" s="1643"/>
      <c r="T876" s="1643"/>
      <c r="U876" s="1643"/>
      <c r="V876" s="1644"/>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2" t="s">
        <v>334</v>
      </c>
      <c r="N877" s="1643"/>
      <c r="O877" s="1643"/>
      <c r="P877" s="1643"/>
      <c r="Q877" s="1643"/>
      <c r="R877" s="1643"/>
      <c r="S877" s="1643"/>
      <c r="T877" s="1643"/>
      <c r="U877" s="1643"/>
      <c r="V877" s="1644"/>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2" t="s">
        <v>334</v>
      </c>
      <c r="N878" s="1643"/>
      <c r="O878" s="1643"/>
      <c r="P878" s="1643"/>
      <c r="Q878" s="1643"/>
      <c r="R878" s="1643"/>
      <c r="S878" s="1643"/>
      <c r="T878" s="1643"/>
      <c r="U878" s="1643"/>
      <c r="V878" s="1644"/>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775000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5">
        <f>O797+O777+G753</f>
        <v>65</v>
      </c>
      <c r="AD884" s="1645"/>
      <c r="AE884" s="1645"/>
      <c r="AF884" s="1645"/>
      <c r="AG884" s="1645"/>
      <c r="AH884" s="1646"/>
      <c r="AL884" s="4"/>
      <c r="AM884" s="4"/>
      <c r="AN884" s="4"/>
      <c r="AO884" s="4"/>
      <c r="AP884" s="4"/>
      <c r="AQ884" s="4"/>
      <c r="AR884" s="4"/>
      <c r="AS884" s="4"/>
      <c r="AT884" s="4"/>
      <c r="AZ884" s="34"/>
      <c r="BA884" s="34"/>
      <c r="BB884" s="34"/>
      <c r="BC884" s="34"/>
    </row>
    <row r="885" spans="3:55"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1">
        <f>IF(ISERROR((ROUNDDOWN(AC883/AC884,0))),0,(ROUNDDOWN(AC883/AC884,0)))</f>
        <v>11923</v>
      </c>
      <c r="AD885" s="1601"/>
      <c r="AE885" s="1601"/>
      <c r="AF885" s="1601"/>
      <c r="AG885" s="1601"/>
      <c r="AH885" s="1601"/>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7">
        <v>599515</v>
      </c>
      <c r="AD886" s="1648"/>
      <c r="AE886" s="1648"/>
      <c r="AF886" s="1648"/>
      <c r="AG886" s="1648"/>
      <c r="AH886" s="164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8"/>
      <c r="AE887" s="1638"/>
      <c r="AF887" s="1638"/>
      <c r="AG887" s="1638"/>
      <c r="AH887" s="163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130000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26000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v>7500</v>
      </c>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5000</v>
      </c>
      <c r="AD891" s="1338"/>
      <c r="AE891" s="1338"/>
      <c r="AF891" s="1338"/>
      <c r="AG891" s="1338"/>
      <c r="AH891" s="1339"/>
      <c r="AZ891" s="34"/>
      <c r="BA891" s="34"/>
      <c r="BB891" s="34"/>
      <c r="BC891" s="34"/>
    </row>
    <row r="892" spans="3:55" ht="12.95"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6" t="s">
        <v>956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c r="AD894" s="1638"/>
      <c r="AE894" s="1638"/>
      <c r="AF894" s="1638"/>
      <c r="AG894" s="1638"/>
      <c r="AH894" s="1638"/>
      <c r="AZ894" s="34"/>
      <c r="BA894" s="34"/>
      <c r="BB894" s="34"/>
      <c r="BC894" s="34"/>
    </row>
    <row r="895" spans="3:55" ht="12.95" customHeight="1">
      <c r="C895" s="1666" t="s">
        <v>956</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5"/>
      <c r="BE899" s="163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5"/>
      <c r="BE900" s="163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4"/>
      <c r="BE902" s="1634"/>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5"/>
      <c r="BE910" s="1634"/>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5"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1" t="s">
        <v>391</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8" t="s">
        <v>545</v>
      </c>
      <c r="V918" s="1427"/>
      <c r="W918" s="1427"/>
      <c r="X918" s="1427"/>
      <c r="Y918" s="1427"/>
      <c r="Z918" s="1428"/>
      <c r="AA918" s="1632">
        <v>16000000</v>
      </c>
      <c r="AB918" s="1524"/>
      <c r="AC918" s="1524"/>
      <c r="AD918" s="1524"/>
      <c r="AE918" s="1524"/>
      <c r="AF918" s="1633"/>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8" t="s">
        <v>545</v>
      </c>
      <c r="V919" s="1427"/>
      <c r="W919" s="1427"/>
      <c r="X919" s="1427"/>
      <c r="Y919" s="1427"/>
      <c r="Z919" s="1428"/>
      <c r="AA919" s="1632">
        <v>8076407</v>
      </c>
      <c r="AB919" s="1524"/>
      <c r="AC919" s="1524"/>
      <c r="AD919" s="1524"/>
      <c r="AE919" s="1524"/>
      <c r="AF919" s="1633"/>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8" t="s">
        <v>591</v>
      </c>
      <c r="V920" s="1427"/>
      <c r="W920" s="1427"/>
      <c r="X920" s="1427"/>
      <c r="Y920" s="1427"/>
      <c r="Z920" s="1428"/>
      <c r="AA920" s="1632"/>
      <c r="AB920" s="1524"/>
      <c r="AC920" s="1524"/>
      <c r="AD920" s="1524"/>
      <c r="AE920" s="1524"/>
      <c r="AF920" s="1633"/>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8" t="s">
        <v>591</v>
      </c>
      <c r="V921" s="1427"/>
      <c r="W921" s="1427"/>
      <c r="X921" s="1427"/>
      <c r="Y921" s="1427"/>
      <c r="Z921" s="1428"/>
      <c r="AA921" s="1632"/>
      <c r="AB921" s="1524"/>
      <c r="AC921" s="1524"/>
      <c r="AD921" s="1524"/>
      <c r="AE921" s="1524"/>
      <c r="AF921" s="1633"/>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8" t="s">
        <v>591</v>
      </c>
      <c r="V922" s="1427"/>
      <c r="W922" s="1427"/>
      <c r="X922" s="1427"/>
      <c r="Y922" s="1427"/>
      <c r="Z922" s="1428"/>
      <c r="AA922" s="1632"/>
      <c r="AB922" s="1524"/>
      <c r="AC922" s="1524"/>
      <c r="AD922" s="1524"/>
      <c r="AE922" s="1524"/>
      <c r="AF922" s="1633"/>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8" t="s">
        <v>591</v>
      </c>
      <c r="V923" s="1427"/>
      <c r="W923" s="1427"/>
      <c r="X923" s="1427"/>
      <c r="Y923" s="1427"/>
      <c r="Z923" s="1428"/>
      <c r="AA923" s="1632"/>
      <c r="AB923" s="1524"/>
      <c r="AC923" s="1524"/>
      <c r="AD923" s="1524"/>
      <c r="AE923" s="1524"/>
      <c r="AF923" s="1633"/>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8" t="s">
        <v>591</v>
      </c>
      <c r="V924" s="1427"/>
      <c r="W924" s="1427"/>
      <c r="X924" s="1427"/>
      <c r="Y924" s="1427"/>
      <c r="Z924" s="1428"/>
      <c r="AA924" s="1632"/>
      <c r="AB924" s="1524"/>
      <c r="AC924" s="1524"/>
      <c r="AD924" s="1524"/>
      <c r="AE924" s="1524"/>
      <c r="AF924" s="1633"/>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8" t="s">
        <v>591</v>
      </c>
      <c r="V925" s="1427"/>
      <c r="W925" s="1427"/>
      <c r="X925" s="1427"/>
      <c r="Y925" s="1427"/>
      <c r="Z925" s="1428"/>
      <c r="AA925" s="1632"/>
      <c r="AB925" s="1524"/>
      <c r="AC925" s="1524"/>
      <c r="AD925" s="1524"/>
      <c r="AE925" s="1524"/>
      <c r="AF925" s="1633"/>
      <c r="AZ925" s="34"/>
      <c r="BA925" s="34"/>
      <c r="BB925" s="34"/>
      <c r="BC925" s="34"/>
    </row>
    <row r="926" spans="1:58" ht="12.95" customHeight="1">
      <c r="F926" s="1625" t="s">
        <v>2192</v>
      </c>
      <c r="G926" s="1626"/>
      <c r="H926" s="1626"/>
      <c r="I926" s="1626"/>
      <c r="J926" s="1626"/>
      <c r="K926" s="1626"/>
      <c r="L926" s="1626"/>
      <c r="M926" s="1626"/>
      <c r="N926" s="1626"/>
      <c r="O926" s="1626"/>
      <c r="P926" s="1626"/>
      <c r="Q926" s="1626"/>
      <c r="R926" s="1626"/>
      <c r="S926" s="1626"/>
      <c r="T926" s="1627"/>
      <c r="U926" s="1628" t="s">
        <v>591</v>
      </c>
      <c r="V926" s="1427"/>
      <c r="W926" s="1427"/>
      <c r="X926" s="1427"/>
      <c r="Y926" s="1427"/>
      <c r="Z926" s="1428"/>
      <c r="AA926" s="1632"/>
      <c r="AB926" s="1524"/>
      <c r="AC926" s="1524"/>
      <c r="AD926" s="1524"/>
      <c r="AE926" s="1524"/>
      <c r="AF926" s="1633"/>
      <c r="AZ926" s="34"/>
      <c r="BA926" s="34"/>
      <c r="BB926" s="34"/>
      <c r="BC926" s="34"/>
    </row>
    <row r="927" spans="1:58" ht="12.95" customHeight="1">
      <c r="F927" s="1625" t="s">
        <v>679</v>
      </c>
      <c r="G927" s="1626"/>
      <c r="H927" s="1626"/>
      <c r="I927" s="1626"/>
      <c r="J927" s="1626"/>
      <c r="K927" s="1626"/>
      <c r="L927" s="1626"/>
      <c r="M927" s="1626"/>
      <c r="N927" s="1626"/>
      <c r="O927" s="1626"/>
      <c r="P927" s="1626"/>
      <c r="Q927" s="1626"/>
      <c r="R927" s="1626"/>
      <c r="S927" s="1626"/>
      <c r="T927" s="1627"/>
      <c r="U927" s="1628" t="s">
        <v>591</v>
      </c>
      <c r="V927" s="1427"/>
      <c r="W927" s="1427"/>
      <c r="X927" s="1427"/>
      <c r="Y927" s="1427"/>
      <c r="Z927" s="1428"/>
      <c r="AA927" s="1632"/>
      <c r="AB927" s="1524"/>
      <c r="AC927" s="1524"/>
      <c r="AD927" s="1524"/>
      <c r="AE927" s="1524"/>
      <c r="AF927" s="1633"/>
      <c r="AU927" s="2"/>
      <c r="AZ927" s="34"/>
      <c r="BA927" s="34"/>
      <c r="BB927" s="34"/>
      <c r="BC927" s="34"/>
    </row>
    <row r="928" spans="1:58" ht="12.95" customHeight="1">
      <c r="F928" s="1625" t="s">
        <v>2193</v>
      </c>
      <c r="G928" s="1626"/>
      <c r="H928" s="1626"/>
      <c r="I928" s="1626"/>
      <c r="J928" s="1626"/>
      <c r="K928" s="1626"/>
      <c r="L928" s="1626"/>
      <c r="M928" s="1626"/>
      <c r="N928" s="1626"/>
      <c r="O928" s="1626"/>
      <c r="P928" s="1626"/>
      <c r="Q928" s="1626"/>
      <c r="R928" s="1626"/>
      <c r="S928" s="1626"/>
      <c r="T928" s="1627"/>
      <c r="U928" s="1628" t="s">
        <v>591</v>
      </c>
      <c r="V928" s="1427"/>
      <c r="W928" s="1427"/>
      <c r="X928" s="1427"/>
      <c r="Y928" s="1427"/>
      <c r="Z928" s="1428"/>
      <c r="AA928" s="1632"/>
      <c r="AB928" s="1524"/>
      <c r="AC928" s="1524"/>
      <c r="AD928" s="1524"/>
      <c r="AE928" s="1524"/>
      <c r="AF928" s="1633"/>
      <c r="AU928" s="2"/>
      <c r="AZ928" s="34"/>
      <c r="BA928" s="34"/>
      <c r="BB928" s="34"/>
      <c r="BC928" s="34"/>
    </row>
    <row r="929" spans="6:55" ht="12.95" customHeight="1">
      <c r="F929" s="1625" t="s">
        <v>2194</v>
      </c>
      <c r="G929" s="1626"/>
      <c r="H929" s="1626"/>
      <c r="I929" s="1626"/>
      <c r="J929" s="1626"/>
      <c r="K929" s="1626"/>
      <c r="L929" s="1626"/>
      <c r="M929" s="1626"/>
      <c r="N929" s="1626"/>
      <c r="O929" s="1626"/>
      <c r="P929" s="1626"/>
      <c r="Q929" s="1626"/>
      <c r="R929" s="1626"/>
      <c r="S929" s="1626"/>
      <c r="T929" s="1627"/>
      <c r="U929" s="1628" t="s">
        <v>591</v>
      </c>
      <c r="V929" s="1427"/>
      <c r="W929" s="1427"/>
      <c r="X929" s="1427"/>
      <c r="Y929" s="1427"/>
      <c r="Z929" s="1428"/>
      <c r="AA929" s="1632"/>
      <c r="AB929" s="1524"/>
      <c r="AC929" s="1524"/>
      <c r="AD929" s="1524"/>
      <c r="AE929" s="1524"/>
      <c r="AF929" s="1633"/>
      <c r="AU929" s="2"/>
      <c r="AZ929" s="34"/>
      <c r="BA929" s="34"/>
      <c r="BB929" s="34"/>
      <c r="BC929" s="34"/>
    </row>
    <row r="930" spans="6:55" ht="12.95" customHeight="1">
      <c r="F930" s="1625" t="s">
        <v>2195</v>
      </c>
      <c r="G930" s="1626"/>
      <c r="H930" s="1626"/>
      <c r="I930" s="1626"/>
      <c r="J930" s="1626"/>
      <c r="K930" s="1626"/>
      <c r="L930" s="1626"/>
      <c r="M930" s="1626"/>
      <c r="N930" s="1626"/>
      <c r="O930" s="1626"/>
      <c r="P930" s="1626"/>
      <c r="Q930" s="1626"/>
      <c r="R930" s="1626"/>
      <c r="S930" s="1626"/>
      <c r="T930" s="1627"/>
      <c r="U930" s="1628" t="s">
        <v>591</v>
      </c>
      <c r="V930" s="1427"/>
      <c r="W930" s="1427"/>
      <c r="X930" s="1427"/>
      <c r="Y930" s="1427"/>
      <c r="Z930" s="1428"/>
      <c r="AA930" s="1632"/>
      <c r="AB930" s="1524"/>
      <c r="AC930" s="1524"/>
      <c r="AD930" s="1524"/>
      <c r="AE930" s="1524"/>
      <c r="AF930" s="1633"/>
      <c r="AU930" s="2"/>
      <c r="AZ930" s="34"/>
      <c r="BA930" s="34"/>
      <c r="BB930" s="34"/>
      <c r="BC930" s="34"/>
    </row>
    <row r="931" spans="6:55" ht="12.95" customHeight="1">
      <c r="F931" s="1625" t="s">
        <v>2196</v>
      </c>
      <c r="G931" s="1626"/>
      <c r="H931" s="1626"/>
      <c r="I931" s="1626"/>
      <c r="J931" s="1626"/>
      <c r="K931" s="1626"/>
      <c r="L931" s="1626"/>
      <c r="M931" s="1626"/>
      <c r="N931" s="1626"/>
      <c r="O931" s="1626"/>
      <c r="P931" s="1626"/>
      <c r="Q931" s="1626"/>
      <c r="R931" s="1626"/>
      <c r="S931" s="1626"/>
      <c r="T931" s="1627"/>
      <c r="U931" s="1628" t="s">
        <v>591</v>
      </c>
      <c r="V931" s="1427"/>
      <c r="W931" s="1427"/>
      <c r="X931" s="1427"/>
      <c r="Y931" s="1427"/>
      <c r="Z931" s="1428"/>
      <c r="AA931" s="1632"/>
      <c r="AB931" s="1524"/>
      <c r="AC931" s="1524"/>
      <c r="AD931" s="1524"/>
      <c r="AE931" s="1524"/>
      <c r="AF931" s="1633"/>
      <c r="AU931" s="2"/>
      <c r="AZ931" s="34"/>
      <c r="BA931" s="34"/>
      <c r="BB931" s="34"/>
      <c r="BC931" s="34"/>
    </row>
    <row r="932" spans="6:55" ht="12.95" customHeight="1">
      <c r="F932" s="1625" t="s">
        <v>2197</v>
      </c>
      <c r="G932" s="1626"/>
      <c r="H932" s="1626"/>
      <c r="I932" s="1626"/>
      <c r="J932" s="1626"/>
      <c r="K932" s="1626"/>
      <c r="L932" s="1626"/>
      <c r="M932" s="1626"/>
      <c r="N932" s="1626"/>
      <c r="O932" s="1626"/>
      <c r="P932" s="1626"/>
      <c r="Q932" s="1626"/>
      <c r="R932" s="1626"/>
      <c r="S932" s="1626"/>
      <c r="T932" s="1627"/>
      <c r="U932" s="1628" t="s">
        <v>591</v>
      </c>
      <c r="V932" s="1427"/>
      <c r="W932" s="1427"/>
      <c r="X932" s="1427"/>
      <c r="Y932" s="1427"/>
      <c r="Z932" s="1428"/>
      <c r="AA932" s="1632"/>
      <c r="AB932" s="1524"/>
      <c r="AC932" s="1524"/>
      <c r="AD932" s="1524"/>
      <c r="AE932" s="1524"/>
      <c r="AF932" s="1633"/>
      <c r="AZ932" s="30"/>
      <c r="BA932" s="30"/>
    </row>
    <row r="933" spans="6:55" ht="12.95" customHeight="1">
      <c r="F933" s="178" t="s">
        <v>676</v>
      </c>
      <c r="G933" s="5"/>
      <c r="H933" s="5"/>
      <c r="I933" s="5"/>
      <c r="J933" s="5"/>
      <c r="K933" s="5"/>
      <c r="L933" s="5"/>
      <c r="M933" s="5"/>
      <c r="N933" s="5"/>
      <c r="O933" s="5"/>
      <c r="P933" s="5"/>
      <c r="Q933" s="5"/>
      <c r="R933" s="5"/>
      <c r="S933" s="5"/>
      <c r="T933" s="46"/>
      <c r="U933" s="1628" t="s">
        <v>591</v>
      </c>
      <c r="V933" s="1427"/>
      <c r="W933" s="1427"/>
      <c r="X933" s="1427"/>
      <c r="Y933" s="1427"/>
      <c r="Z933" s="1428"/>
      <c r="AA933" s="1632"/>
      <c r="AB933" s="1524"/>
      <c r="AC933" s="1524"/>
      <c r="AD933" s="1524"/>
      <c r="AE933" s="1524"/>
      <c r="AF933" s="1633"/>
    </row>
    <row r="934" spans="6:55" ht="12.95" customHeight="1">
      <c r="F934" s="121" t="s">
        <v>1277</v>
      </c>
      <c r="G934" s="5"/>
      <c r="H934" s="5"/>
      <c r="I934" s="5"/>
      <c r="J934" s="5"/>
      <c r="K934" s="5"/>
      <c r="L934" s="5"/>
      <c r="M934" s="5"/>
      <c r="N934" s="5"/>
      <c r="O934" s="5"/>
      <c r="P934" s="5"/>
      <c r="Q934" s="5"/>
      <c r="R934" s="5"/>
      <c r="S934" s="5"/>
      <c r="T934" s="46"/>
      <c r="U934" s="1628" t="s">
        <v>591</v>
      </c>
      <c r="V934" s="1427"/>
      <c r="W934" s="1427"/>
      <c r="X934" s="1427"/>
      <c r="Y934" s="1427"/>
      <c r="Z934" s="1428"/>
      <c r="AA934" s="1632"/>
      <c r="AB934" s="1524"/>
      <c r="AC934" s="1524"/>
      <c r="AD934" s="1524"/>
      <c r="AE934" s="1524"/>
      <c r="AF934" s="1633"/>
      <c r="AZ934" s="30"/>
      <c r="BA934" s="14"/>
    </row>
    <row r="935" spans="6:55" ht="12.95" customHeight="1">
      <c r="F935" s="66" t="s">
        <v>802</v>
      </c>
      <c r="G935" s="5"/>
      <c r="H935" s="5"/>
      <c r="I935" s="5"/>
      <c r="J935" s="5"/>
      <c r="K935" s="5"/>
      <c r="L935" s="5"/>
      <c r="M935" s="5"/>
      <c r="N935" s="5"/>
      <c r="O935" s="5"/>
      <c r="P935" s="5"/>
      <c r="Q935" s="5"/>
      <c r="R935" s="5"/>
      <c r="S935" s="5"/>
      <c r="T935" s="46"/>
      <c r="U935" s="1628" t="s">
        <v>591</v>
      </c>
      <c r="V935" s="1427"/>
      <c r="W935" s="1427"/>
      <c r="X935" s="1427"/>
      <c r="Y935" s="1427"/>
      <c r="Z935" s="1428"/>
      <c r="AA935" s="1632"/>
      <c r="AB935" s="1524"/>
      <c r="AC935" s="1524"/>
      <c r="AD935" s="1524"/>
      <c r="AE935" s="1524"/>
      <c r="AF935" s="1633"/>
      <c r="AZ935" s="30"/>
      <c r="BA935" s="14"/>
    </row>
    <row r="936" spans="6:55" ht="12.95" customHeight="1">
      <c r="F936" s="1629" t="s">
        <v>2201</v>
      </c>
      <c r="G936" s="1630"/>
      <c r="H936" s="1630"/>
      <c r="I936" s="1630"/>
      <c r="J936" s="1630"/>
      <c r="K936" s="1630"/>
      <c r="L936" s="1630"/>
      <c r="M936" s="1630"/>
      <c r="N936" s="1630"/>
      <c r="O936" s="1630"/>
      <c r="P936" s="1630"/>
      <c r="Q936" s="1630"/>
      <c r="R936" s="1630"/>
      <c r="S936" s="1630"/>
      <c r="T936" s="1631"/>
      <c r="U936" s="1628" t="s">
        <v>591</v>
      </c>
      <c r="V936" s="1427"/>
      <c r="W936" s="1427"/>
      <c r="X936" s="1427"/>
      <c r="Y936" s="1427"/>
      <c r="Z936" s="1428"/>
      <c r="AA936" s="1632"/>
      <c r="AB936" s="1524"/>
      <c r="AC936" s="1524"/>
      <c r="AD936" s="1524"/>
      <c r="AE936" s="1524"/>
      <c r="AF936" s="1633"/>
      <c r="AZ936" s="30"/>
      <c r="BA936" s="14"/>
    </row>
    <row r="937" spans="6:55" ht="12.95" customHeight="1">
      <c r="F937" s="1629" t="s">
        <v>2202</v>
      </c>
      <c r="G937" s="1630"/>
      <c r="H937" s="1630"/>
      <c r="I937" s="1630"/>
      <c r="J937" s="1630"/>
      <c r="K937" s="1630"/>
      <c r="L937" s="1630"/>
      <c r="M937" s="1630"/>
      <c r="N937" s="1630"/>
      <c r="O937" s="1630"/>
      <c r="P937" s="1630"/>
      <c r="Q937" s="1630"/>
      <c r="R937" s="1630"/>
      <c r="S937" s="1630"/>
      <c r="T937" s="1631"/>
      <c r="U937" s="1628" t="s">
        <v>591</v>
      </c>
      <c r="V937" s="1427"/>
      <c r="W937" s="1427"/>
      <c r="X937" s="1427"/>
      <c r="Y937" s="1427"/>
      <c r="Z937" s="1428"/>
      <c r="AA937" s="1632"/>
      <c r="AB937" s="1524"/>
      <c r="AC937" s="1524"/>
      <c r="AD937" s="1524"/>
      <c r="AE937" s="1524"/>
      <c r="AF937" s="1633"/>
      <c r="AZ937" s="30"/>
      <c r="BA937" s="30"/>
    </row>
    <row r="938" spans="6:55" ht="12.95" customHeight="1">
      <c r="F938" s="1625" t="s">
        <v>2198</v>
      </c>
      <c r="G938" s="1626"/>
      <c r="H938" s="1626"/>
      <c r="I938" s="1626"/>
      <c r="J938" s="1626"/>
      <c r="K938" s="1626"/>
      <c r="L938" s="1626"/>
      <c r="M938" s="1626"/>
      <c r="N938" s="1626"/>
      <c r="O938" s="1626"/>
      <c r="P938" s="1626"/>
      <c r="Q938" s="1626"/>
      <c r="R938" s="1626"/>
      <c r="S938" s="1626"/>
      <c r="T938" s="1627"/>
      <c r="U938" s="1628" t="s">
        <v>591</v>
      </c>
      <c r="V938" s="1427"/>
      <c r="W938" s="1427"/>
      <c r="X938" s="1427"/>
      <c r="Y938" s="1427"/>
      <c r="Z938" s="1428"/>
      <c r="AA938" s="1632"/>
      <c r="AB938" s="1524"/>
      <c r="AC938" s="1524"/>
      <c r="AD938" s="1524"/>
      <c r="AE938" s="1524"/>
      <c r="AF938" s="1633"/>
      <c r="AZ938" s="30"/>
      <c r="BA938" s="30"/>
    </row>
    <row r="939" spans="6:55" ht="12.95" customHeight="1">
      <c r="F939" s="1625" t="s">
        <v>2199</v>
      </c>
      <c r="G939" s="1626"/>
      <c r="H939" s="1626"/>
      <c r="I939" s="1626"/>
      <c r="J939" s="1626"/>
      <c r="K939" s="1626"/>
      <c r="L939" s="1626"/>
      <c r="M939" s="1626"/>
      <c r="N939" s="1626"/>
      <c r="O939" s="1626"/>
      <c r="P939" s="1626"/>
      <c r="Q939" s="1626"/>
      <c r="R939" s="1626"/>
      <c r="S939" s="1626"/>
      <c r="T939" s="1627"/>
      <c r="U939" s="1628" t="s">
        <v>591</v>
      </c>
      <c r="V939" s="1427"/>
      <c r="W939" s="1427"/>
      <c r="X939" s="1427"/>
      <c r="Y939" s="1427"/>
      <c r="Z939" s="1428"/>
      <c r="AA939" s="1632"/>
      <c r="AB939" s="1524"/>
      <c r="AC939" s="1524"/>
      <c r="AD939" s="1524"/>
      <c r="AE939" s="1524"/>
      <c r="AF939" s="1633"/>
      <c r="AZ939" s="30"/>
      <c r="BA939" s="30"/>
    </row>
    <row r="940" spans="6:55" ht="12.95" customHeight="1">
      <c r="F940" s="1625" t="s">
        <v>2200</v>
      </c>
      <c r="G940" s="1626"/>
      <c r="H940" s="1626"/>
      <c r="I940" s="1626"/>
      <c r="J940" s="1626"/>
      <c r="K940" s="1626"/>
      <c r="L940" s="1626"/>
      <c r="M940" s="1626"/>
      <c r="N940" s="1626"/>
      <c r="O940" s="1626"/>
      <c r="P940" s="1626"/>
      <c r="Q940" s="1626"/>
      <c r="R940" s="1626"/>
      <c r="S940" s="1626"/>
      <c r="T940" s="1627"/>
      <c r="U940" s="1628" t="s">
        <v>591</v>
      </c>
      <c r="V940" s="1427"/>
      <c r="W940" s="1427"/>
      <c r="X940" s="1427"/>
      <c r="Y940" s="1427"/>
      <c r="Z940" s="1428"/>
      <c r="AA940" s="1632"/>
      <c r="AB940" s="1524"/>
      <c r="AC940" s="1524"/>
      <c r="AD940" s="1524"/>
      <c r="AE940" s="1524"/>
      <c r="AF940" s="1633"/>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8" t="s">
        <v>591</v>
      </c>
      <c r="V941" s="1427"/>
      <c r="W941" s="1427"/>
      <c r="X941" s="1427"/>
      <c r="Y941" s="1427"/>
      <c r="Z941" s="1428"/>
      <c r="AA941" s="1632"/>
      <c r="AB941" s="1524"/>
      <c r="AC941" s="1524"/>
      <c r="AD941" s="1524"/>
      <c r="AE941" s="1524"/>
      <c r="AF941" s="1633"/>
      <c r="AZ941" s="34"/>
      <c r="BA941" s="34"/>
      <c r="BB941" s="14"/>
      <c r="BC941" s="14"/>
    </row>
    <row r="942" spans="6:55" ht="12.95" customHeight="1">
      <c r="F942" s="1629" t="s">
        <v>2203</v>
      </c>
      <c r="G942" s="1630"/>
      <c r="H942" s="1630"/>
      <c r="I942" s="1630"/>
      <c r="J942" s="1630"/>
      <c r="K942" s="1630"/>
      <c r="L942" s="1630"/>
      <c r="M942" s="1630"/>
      <c r="N942" s="1630"/>
      <c r="O942" s="1630"/>
      <c r="P942" s="1630"/>
      <c r="Q942" s="1630"/>
      <c r="R942" s="1630"/>
      <c r="S942" s="1630"/>
      <c r="T942" s="1631"/>
      <c r="U942" s="1628" t="s">
        <v>591</v>
      </c>
      <c r="V942" s="1427"/>
      <c r="W942" s="1427"/>
      <c r="X942" s="1427"/>
      <c r="Y942" s="1427"/>
      <c r="Z942" s="1428"/>
      <c r="AA942" s="1632"/>
      <c r="AB942" s="1524"/>
      <c r="AC942" s="1524"/>
      <c r="AD942" s="1524"/>
      <c r="AE942" s="1524"/>
      <c r="AF942" s="1633"/>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8" t="s">
        <v>591</v>
      </c>
      <c r="V943" s="1427"/>
      <c r="W943" s="1427"/>
      <c r="X943" s="1427"/>
      <c r="Y943" s="1427"/>
      <c r="Z943" s="1428"/>
      <c r="AA943" s="1632"/>
      <c r="AB943" s="1524"/>
      <c r="AC943" s="1524"/>
      <c r="AD943" s="1524"/>
      <c r="AE943" s="1524"/>
      <c r="AF943" s="1633"/>
      <c r="AZ943" s="34"/>
      <c r="BA943" s="34"/>
      <c r="BB943" s="34"/>
      <c r="BC943" s="34"/>
    </row>
    <row r="944" spans="6:55" ht="12.95" customHeight="1">
      <c r="F944" s="1629" t="s">
        <v>2204</v>
      </c>
      <c r="G944" s="1630"/>
      <c r="H944" s="1630"/>
      <c r="I944" s="1630"/>
      <c r="J944" s="1630"/>
      <c r="K944" s="1630"/>
      <c r="L944" s="1630"/>
      <c r="M944" s="1630"/>
      <c r="N944" s="1630"/>
      <c r="O944" s="1630"/>
      <c r="P944" s="1630"/>
      <c r="Q944" s="1630"/>
      <c r="R944" s="1630"/>
      <c r="S944" s="1630"/>
      <c r="T944" s="1631"/>
      <c r="U944" s="1628" t="s">
        <v>591</v>
      </c>
      <c r="V944" s="1427"/>
      <c r="W944" s="1427"/>
      <c r="X944" s="1427"/>
      <c r="Y944" s="1427"/>
      <c r="Z944" s="1428"/>
      <c r="AA944" s="1632"/>
      <c r="AB944" s="1524"/>
      <c r="AC944" s="1524"/>
      <c r="AD944" s="1524"/>
      <c r="AE944" s="1524"/>
      <c r="AF944" s="1633"/>
      <c r="AZ944" s="34"/>
      <c r="BA944" s="34"/>
      <c r="BB944" s="34"/>
      <c r="BC944" s="34"/>
    </row>
    <row r="945" spans="1:55" ht="12.95" customHeight="1">
      <c r="F945" s="45" t="s">
        <v>806</v>
      </c>
      <c r="G945" s="5"/>
      <c r="H945" s="5"/>
      <c r="I945" s="5"/>
      <c r="J945" s="5"/>
      <c r="K945" s="5"/>
      <c r="L945" s="5"/>
      <c r="M945" s="5"/>
      <c r="N945" s="5"/>
      <c r="O945" s="5"/>
      <c r="P945" s="1628" t="s">
        <v>669</v>
      </c>
      <c r="Q945" s="1427"/>
      <c r="R945" s="1427"/>
      <c r="S945" s="1427"/>
      <c r="T945" s="1428"/>
      <c r="U945" s="1628" t="s">
        <v>591</v>
      </c>
      <c r="V945" s="1427"/>
      <c r="W945" s="1427"/>
      <c r="X945" s="1427"/>
      <c r="Y945" s="1427"/>
      <c r="Z945" s="1428"/>
      <c r="AA945" s="1632"/>
      <c r="AB945" s="1524"/>
      <c r="AC945" s="1524"/>
      <c r="AD945" s="1524"/>
      <c r="AE945" s="1524"/>
      <c r="AF945" s="1633"/>
      <c r="AZ945" s="34"/>
      <c r="BA945" s="34"/>
      <c r="BB945" s="34"/>
      <c r="BC945" s="34"/>
    </row>
    <row r="946" spans="1:55" ht="12.95" customHeight="1">
      <c r="F946" s="1625" t="s">
        <v>2191</v>
      </c>
      <c r="G946" s="1626"/>
      <c r="H946" s="1627"/>
      <c r="I946" s="1642" t="s">
        <v>2746</v>
      </c>
      <c r="J946" s="1643"/>
      <c r="K946" s="1643"/>
      <c r="L946" s="1643"/>
      <c r="M946" s="1643"/>
      <c r="N946" s="1643"/>
      <c r="O946" s="1643"/>
      <c r="P946" s="1643"/>
      <c r="Q946" s="1643"/>
      <c r="R946" s="1643"/>
      <c r="S946" s="1643"/>
      <c r="T946" s="1644"/>
      <c r="U946" s="1628" t="s">
        <v>545</v>
      </c>
      <c r="V946" s="1427"/>
      <c r="W946" s="1427"/>
      <c r="X946" s="1427"/>
      <c r="Y946" s="1427"/>
      <c r="Z946" s="1428"/>
      <c r="AA946" s="1632">
        <v>20778823</v>
      </c>
      <c r="AB946" s="1524"/>
      <c r="AC946" s="1524"/>
      <c r="AD946" s="1524"/>
      <c r="AE946" s="1524"/>
      <c r="AF946" s="1633"/>
      <c r="AZ946" s="34"/>
      <c r="BA946" s="34"/>
      <c r="BB946" s="34"/>
      <c r="BC946" s="34"/>
    </row>
    <row r="947" spans="1:55" ht="12.95" customHeight="1">
      <c r="F947" s="45" t="s">
        <v>86</v>
      </c>
      <c r="G947" s="48"/>
      <c r="H947" s="48"/>
      <c r="I947" s="1642" t="s">
        <v>2746</v>
      </c>
      <c r="J947" s="1643"/>
      <c r="K947" s="1643"/>
      <c r="L947" s="1643"/>
      <c r="M947" s="1643"/>
      <c r="N947" s="1643"/>
      <c r="O947" s="1643"/>
      <c r="P947" s="1643"/>
      <c r="Q947" s="1643"/>
      <c r="R947" s="1643"/>
      <c r="S947" s="1643"/>
      <c r="T947" s="1644"/>
      <c r="U947" s="1628" t="s">
        <v>545</v>
      </c>
      <c r="V947" s="1427"/>
      <c r="W947" s="1427"/>
      <c r="X947" s="1427"/>
      <c r="Y947" s="1427"/>
      <c r="Z947" s="1428"/>
      <c r="AA947" s="1632">
        <v>5400000</v>
      </c>
      <c r="AB947" s="1524"/>
      <c r="AC947" s="1524"/>
      <c r="AD947" s="1524"/>
      <c r="AE947" s="1524"/>
      <c r="AF947" s="1633"/>
      <c r="AZ947" s="34"/>
      <c r="BA947" s="34"/>
      <c r="BB947" s="34"/>
      <c r="BC947" s="34"/>
    </row>
    <row r="948" spans="1:55" ht="12.95" customHeight="1">
      <c r="F948" s="45" t="s">
        <v>10</v>
      </c>
      <c r="G948" s="48"/>
      <c r="H948" s="48"/>
      <c r="I948" s="1699" t="s">
        <v>2708</v>
      </c>
      <c r="J948" s="1700"/>
      <c r="K948" s="1700"/>
      <c r="L948" s="1700"/>
      <c r="M948" s="1700"/>
      <c r="N948" s="1700"/>
      <c r="O948" s="1700"/>
      <c r="P948" s="1700"/>
      <c r="Q948" s="1700"/>
      <c r="R948" s="1700"/>
      <c r="S948" s="1700"/>
      <c r="T948" s="1701"/>
      <c r="U948" s="1628" t="s">
        <v>545</v>
      </c>
      <c r="V948" s="1427"/>
      <c r="W948" s="1427"/>
      <c r="X948" s="1427"/>
      <c r="Y948" s="1427"/>
      <c r="Z948" s="1428"/>
      <c r="AA948" s="1632">
        <v>4403263</v>
      </c>
      <c r="AB948" s="1524"/>
      <c r="AC948" s="1524"/>
      <c r="AD948" s="1524"/>
      <c r="AE948" s="1524"/>
      <c r="AF948" s="1633"/>
      <c r="AV948" s="2"/>
      <c r="AW948" s="2"/>
      <c r="AX948" s="2"/>
      <c r="AY948" s="2"/>
      <c r="AZ948" s="34"/>
      <c r="BA948" s="34"/>
      <c r="BB948" s="34"/>
      <c r="BC948" s="34"/>
    </row>
    <row r="949" spans="1:55" ht="12.95" customHeight="1">
      <c r="F949" s="47" t="s">
        <v>170</v>
      </c>
      <c r="G949" s="48"/>
      <c r="H949" s="48"/>
      <c r="I949" s="1699" t="s">
        <v>2730</v>
      </c>
      <c r="J949" s="1700"/>
      <c r="K949" s="1700"/>
      <c r="L949" s="1700"/>
      <c r="M949" s="1700"/>
      <c r="N949" s="1700"/>
      <c r="O949" s="1700"/>
      <c r="P949" s="1700"/>
      <c r="Q949" s="1700"/>
      <c r="R949" s="1700"/>
      <c r="S949" s="1700"/>
      <c r="T949" s="1701"/>
      <c r="U949" s="1628" t="s">
        <v>545</v>
      </c>
      <c r="V949" s="1427"/>
      <c r="W949" s="1427"/>
      <c r="X949" s="1427"/>
      <c r="Y949" s="1427"/>
      <c r="Z949" s="1428"/>
      <c r="AA949" s="1632">
        <f>7000000+11000000</f>
        <v>18000000</v>
      </c>
      <c r="AB949" s="1524"/>
      <c r="AC949" s="1524"/>
      <c r="AD949" s="1524"/>
      <c r="AE949" s="1524"/>
      <c r="AF949" s="1633"/>
      <c r="AU949" s="2"/>
      <c r="AZ949" s="34"/>
      <c r="BA949" s="34"/>
      <c r="BB949" s="34"/>
      <c r="BC949" s="34"/>
    </row>
    <row r="950" spans="1:55" ht="12.95" customHeight="1">
      <c r="F950" s="47" t="s">
        <v>170</v>
      </c>
      <c r="G950" s="48"/>
      <c r="H950" s="48"/>
      <c r="I950" s="1699" t="s">
        <v>2614</v>
      </c>
      <c r="J950" s="1700"/>
      <c r="K950" s="1700"/>
      <c r="L950" s="1700"/>
      <c r="M950" s="1700"/>
      <c r="N950" s="1700"/>
      <c r="O950" s="1700"/>
      <c r="P950" s="1700"/>
      <c r="Q950" s="1700"/>
      <c r="R950" s="1700"/>
      <c r="S950" s="1700"/>
      <c r="T950" s="1701"/>
      <c r="U950" s="1628" t="s">
        <v>545</v>
      </c>
      <c r="V950" s="1427"/>
      <c r="W950" s="1427"/>
      <c r="X950" s="1427"/>
      <c r="Y950" s="1427"/>
      <c r="Z950" s="1428"/>
      <c r="AA950" s="1632">
        <v>1000000</v>
      </c>
      <c r="AB950" s="1524"/>
      <c r="AC950" s="1524"/>
      <c r="AD950" s="1524"/>
      <c r="AE950" s="1524"/>
      <c r="AF950" s="1633"/>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3"/>
      <c r="N955" s="1520"/>
      <c r="O955" s="1520"/>
      <c r="P955" s="1520"/>
      <c r="Q955" s="1520"/>
      <c r="R955" s="1520"/>
      <c r="S955" s="1623"/>
      <c r="U955" s="66" t="s">
        <v>11</v>
      </c>
      <c r="V955" s="5"/>
      <c r="W955" s="5"/>
      <c r="X955" s="5"/>
      <c r="Y955" s="5"/>
      <c r="Z955" s="5"/>
      <c r="AA955" s="5"/>
      <c r="AB955" s="5"/>
      <c r="AC955" s="5"/>
      <c r="AD955" s="46"/>
      <c r="AE955" s="1703"/>
      <c r="AF955" s="1520"/>
      <c r="AG955" s="1520"/>
      <c r="AH955" s="1520"/>
      <c r="AI955" s="1520"/>
      <c r="AJ955" s="1520"/>
      <c r="AK955" s="1623"/>
      <c r="AZ955" s="34"/>
      <c r="BA955" s="34"/>
      <c r="BB955" s="34"/>
      <c r="BC955" s="34"/>
    </row>
    <row r="956" spans="1:55" ht="12.95" customHeight="1">
      <c r="C956" s="66" t="s">
        <v>12</v>
      </c>
      <c r="D956" s="5"/>
      <c r="E956" s="5"/>
      <c r="F956" s="5"/>
      <c r="G956" s="5"/>
      <c r="H956" s="5"/>
      <c r="I956" s="5"/>
      <c r="J956" s="5"/>
      <c r="K956" s="5"/>
      <c r="L956" s="46"/>
      <c r="M956" s="1661"/>
      <c r="N956" s="1561"/>
      <c r="O956" s="1561"/>
      <c r="P956" s="1561"/>
      <c r="Q956" s="1561"/>
      <c r="R956" s="1561"/>
      <c r="S956" s="1662"/>
      <c r="U956" s="66" t="s">
        <v>12</v>
      </c>
      <c r="V956" s="5"/>
      <c r="W956" s="5"/>
      <c r="X956" s="5"/>
      <c r="Y956" s="5"/>
      <c r="Z956" s="5"/>
      <c r="AA956" s="5"/>
      <c r="AB956" s="5"/>
      <c r="AC956" s="5"/>
      <c r="AD956" s="46"/>
      <c r="AE956" s="1661"/>
      <c r="AF956" s="1561"/>
      <c r="AG956" s="1561"/>
      <c r="AH956" s="1561"/>
      <c r="AI956" s="1561"/>
      <c r="AJ956" s="1561"/>
      <c r="AK956" s="1662"/>
      <c r="AZ956" s="34"/>
      <c r="BA956" s="34"/>
      <c r="BB956" s="34"/>
      <c r="BC956" s="34"/>
    </row>
    <row r="957" spans="1:55" ht="12.95" customHeight="1">
      <c r="C957" s="66" t="s">
        <v>880</v>
      </c>
      <c r="D957" s="5"/>
      <c r="E957" s="5"/>
      <c r="J957" s="1807" t="s">
        <v>307</v>
      </c>
      <c r="K957" s="1808"/>
      <c r="L957" s="1808"/>
      <c r="M957" s="1808"/>
      <c r="N957" s="1808"/>
      <c r="O957" s="1808"/>
      <c r="P957" s="1808"/>
      <c r="Q957" s="1808"/>
      <c r="R957" s="1808"/>
      <c r="S957" s="1809"/>
      <c r="U957" s="66" t="s">
        <v>880</v>
      </c>
      <c r="V957" s="5"/>
      <c r="W957" s="5"/>
      <c r="AB957" s="1807" t="s">
        <v>307</v>
      </c>
      <c r="AC957" s="1808"/>
      <c r="AD957" s="1808"/>
      <c r="AE957" s="1808"/>
      <c r="AF957" s="1808"/>
      <c r="AG957" s="1808"/>
      <c r="AH957" s="1808"/>
      <c r="AI957" s="1808"/>
      <c r="AJ957" s="1808"/>
      <c r="AK957" s="1809"/>
      <c r="AZ957" s="34"/>
      <c r="BA957" s="34"/>
      <c r="BB957" s="34"/>
      <c r="BC957" s="34"/>
    </row>
    <row r="958" spans="1:55" ht="12.95"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5" customHeight="1">
      <c r="C959" s="66" t="s">
        <v>14</v>
      </c>
      <c r="D959" s="5"/>
      <c r="E959" s="5"/>
      <c r="F959" s="5"/>
      <c r="G959" s="5"/>
      <c r="H959" s="5"/>
      <c r="I959" s="5"/>
      <c r="J959" s="5"/>
      <c r="K959" s="5"/>
      <c r="L959" s="46"/>
      <c r="M959" s="1724"/>
      <c r="N959" s="1608"/>
      <c r="O959" s="1608"/>
      <c r="P959" s="1608"/>
      <c r="Q959" s="1608"/>
      <c r="R959" s="1608"/>
      <c r="S959" s="1609"/>
      <c r="U959" s="66" t="s">
        <v>14</v>
      </c>
      <c r="V959" s="5"/>
      <c r="W959" s="5"/>
      <c r="X959" s="5"/>
      <c r="Y959" s="5"/>
      <c r="Z959" s="5"/>
      <c r="AA959" s="5"/>
      <c r="AB959" s="5"/>
      <c r="AC959" s="5"/>
      <c r="AD959" s="46"/>
      <c r="AE959" s="1724"/>
      <c r="AF959" s="1608"/>
      <c r="AG959" s="1608"/>
      <c r="AH959" s="1608"/>
      <c r="AI959" s="1608"/>
      <c r="AJ959" s="1608"/>
      <c r="AK959" s="1609"/>
      <c r="AV959" s="2"/>
      <c r="AW959" s="2"/>
      <c r="AX959" s="2"/>
      <c r="AY959" s="2"/>
      <c r="AZ959" s="34"/>
      <c r="BA959" s="34"/>
      <c r="BB959" s="34"/>
      <c r="BC959" s="34"/>
    </row>
    <row r="960" spans="1:55" ht="12.95" customHeight="1">
      <c r="C960" s="66" t="s">
        <v>15</v>
      </c>
      <c r="D960" s="5"/>
      <c r="E960" s="5"/>
      <c r="F960" s="5"/>
      <c r="G960" s="5"/>
      <c r="H960" s="5"/>
      <c r="I960" s="5"/>
      <c r="J960" s="5"/>
      <c r="K960" s="5"/>
      <c r="L960" s="46"/>
      <c r="M960" s="1632"/>
      <c r="N960" s="1524"/>
      <c r="O960" s="1524"/>
      <c r="P960" s="1524"/>
      <c r="Q960" s="1524"/>
      <c r="R960" s="1524"/>
      <c r="S960" s="1633"/>
      <c r="U960" s="66" t="s">
        <v>15</v>
      </c>
      <c r="V960" s="5"/>
      <c r="W960" s="5"/>
      <c r="X960" s="5"/>
      <c r="Y960" s="5"/>
      <c r="Z960" s="5"/>
      <c r="AA960" s="5"/>
      <c r="AB960" s="5"/>
      <c r="AC960" s="5"/>
      <c r="AD960" s="46"/>
      <c r="AE960" s="1632"/>
      <c r="AF960" s="1524"/>
      <c r="AG960" s="1524"/>
      <c r="AH960" s="1524"/>
      <c r="AI960" s="1524"/>
      <c r="AJ960" s="1524"/>
      <c r="AK960" s="1633"/>
      <c r="AV960" s="2"/>
      <c r="AW960" s="2"/>
      <c r="AX960" s="2"/>
      <c r="AY960" s="2"/>
      <c r="AZ960" s="34"/>
      <c r="BA960" s="34"/>
      <c r="BB960" s="34"/>
      <c r="BC960" s="34"/>
    </row>
    <row r="961" spans="1:64" ht="12.95" customHeight="1">
      <c r="C961" s="66" t="s">
        <v>16</v>
      </c>
      <c r="D961" s="5"/>
      <c r="E961" s="5"/>
      <c r="F961" s="5"/>
      <c r="G961" s="5"/>
      <c r="H961" s="5"/>
      <c r="I961" s="5"/>
      <c r="J961" s="5"/>
      <c r="K961" s="5"/>
      <c r="L961" s="46"/>
      <c r="M961" s="1632"/>
      <c r="N961" s="1524"/>
      <c r="O961" s="1524"/>
      <c r="P961" s="1524"/>
      <c r="Q961" s="1524"/>
      <c r="R961" s="1524"/>
      <c r="S961" s="1633"/>
      <c r="U961" s="66" t="s">
        <v>16</v>
      </c>
      <c r="V961" s="5"/>
      <c r="W961" s="5"/>
      <c r="X961" s="5"/>
      <c r="Y961" s="5"/>
      <c r="Z961" s="5"/>
      <c r="AA961" s="5"/>
      <c r="AB961" s="5"/>
      <c r="AC961" s="5"/>
      <c r="AD961" s="46"/>
      <c r="AE961" s="1632"/>
      <c r="AF961" s="1524"/>
      <c r="AG961" s="1524"/>
      <c r="AH961" s="1524"/>
      <c r="AI961" s="1524"/>
      <c r="AJ961" s="1524"/>
      <c r="AK961" s="1633"/>
      <c r="AV961" s="2"/>
      <c r="AW961" s="2"/>
      <c r="AX961" s="2"/>
      <c r="AY961" s="2"/>
      <c r="AZ961" s="34"/>
      <c r="BB961" s="34"/>
      <c r="BC961" s="34"/>
    </row>
    <row r="962" spans="1:64" ht="12.95" customHeight="1">
      <c r="C962" s="121" t="s">
        <v>1661</v>
      </c>
      <c r="D962" s="5"/>
      <c r="E962" s="5"/>
      <c r="F962" s="5"/>
      <c r="G962" s="5"/>
      <c r="H962" s="5"/>
      <c r="I962" s="5"/>
      <c r="J962" s="5"/>
      <c r="K962" s="5"/>
      <c r="L962" s="46"/>
      <c r="M962" s="1775"/>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8"/>
      <c r="N967" s="1659"/>
      <c r="O967" s="1659"/>
      <c r="P967" s="1659"/>
      <c r="Q967" s="1659"/>
      <c r="R967" s="1659"/>
      <c r="S967" s="1660"/>
      <c r="T967" s="66" t="s">
        <v>790</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8"/>
      <c r="N968" s="1659"/>
      <c r="O968" s="1659"/>
      <c r="P968" s="1659"/>
      <c r="Q968" s="1659"/>
      <c r="R968" s="1659"/>
      <c r="S968" s="1660"/>
      <c r="T968" s="66" t="s">
        <v>789</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7" t="s">
        <v>591</v>
      </c>
      <c r="N969" s="1708"/>
      <c r="O969" s="1708"/>
      <c r="P969" s="1708"/>
      <c r="Q969" s="1708"/>
      <c r="R969" s="1708"/>
      <c r="S969" s="1709"/>
      <c r="T969" s="45" t="s">
        <v>337</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8"/>
      <c r="N970" s="1659"/>
      <c r="O970" s="1659"/>
      <c r="P970" s="1659"/>
      <c r="Q970" s="1659"/>
      <c r="R970" s="1659"/>
      <c r="S970" s="1660"/>
      <c r="T970" s="45" t="s">
        <v>338</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8"/>
      <c r="N971" s="1659"/>
      <c r="O971" s="1659"/>
      <c r="P971" s="1659"/>
      <c r="Q971" s="1659"/>
      <c r="R971" s="1659"/>
      <c r="S971" s="1660"/>
      <c r="T971" s="45" t="s">
        <v>376</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8"/>
      <c r="N973" s="1659"/>
      <c r="O973" s="1659"/>
      <c r="P973" s="1659"/>
      <c r="Q973" s="1659"/>
      <c r="R973" s="1659"/>
      <c r="S973" s="1660"/>
      <c r="T973" s="1762"/>
      <c r="U973" s="1763"/>
      <c r="V973" s="1763"/>
      <c r="W973" s="1763"/>
      <c r="X973" s="1763"/>
      <c r="Y973" s="1763"/>
      <c r="Z973" s="1764"/>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669</v>
      </c>
      <c r="P974" s="1372"/>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5" customHeight="1">
      <c r="F975" s="1603" t="s">
        <v>33</v>
      </c>
      <c r="G975" s="1483"/>
      <c r="H975" s="1483"/>
      <c r="I975" s="1483"/>
      <c r="J975" s="1483"/>
      <c r="K975" s="1483"/>
      <c r="L975" s="1483"/>
      <c r="M975" s="1658"/>
      <c r="N975" s="1659"/>
      <c r="O975" s="1659"/>
      <c r="P975" s="1659"/>
      <c r="Q975" s="1659"/>
      <c r="R975" s="1659"/>
      <c r="S975" s="1660"/>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2.95" customHeight="1">
      <c r="A986" s="14"/>
      <c r="B986" s="73"/>
      <c r="C986" s="929"/>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532060</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613460</v>
      </c>
      <c r="S987" s="1783"/>
      <c r="T987" s="1783"/>
      <c r="U987" s="1783"/>
      <c r="V987" s="1783"/>
      <c r="W987" s="1783"/>
      <c r="X987" s="1783"/>
      <c r="Y987" s="1783"/>
      <c r="Z987" s="1783"/>
      <c r="AA987" s="1783"/>
      <c r="AB987" s="1780">
        <f>CU802</f>
        <v>30</v>
      </c>
      <c r="AC987" s="1781"/>
      <c r="AD987" s="1781"/>
      <c r="AE987" s="1781"/>
      <c r="AF987" s="1781"/>
      <c r="AG987" s="1781"/>
      <c r="AH987" s="1781"/>
      <c r="AI987" s="1782"/>
      <c r="AJ987" s="1716">
        <f>IF(ISERROR((R987*AB987)),0,(R987*AB987))</f>
        <v>18403800</v>
      </c>
      <c r="AK987" s="1717"/>
      <c r="AL987" s="1717"/>
      <c r="AM987" s="1717"/>
      <c r="AN987" s="1717"/>
      <c r="AO987" s="1717"/>
      <c r="AP987" s="1717"/>
      <c r="AQ987" s="1718"/>
      <c r="AR987" s="68"/>
      <c r="AS987" s="68"/>
      <c r="AT987" s="68"/>
      <c r="AU987" s="68"/>
      <c r="AV987" s="68"/>
      <c r="AW987" s="68"/>
      <c r="AX987" s="68"/>
      <c r="AY987" s="68"/>
      <c r="AZ987" s="30"/>
      <c r="BB987" s="14"/>
      <c r="BC987" s="14"/>
    </row>
    <row r="988" spans="1:64" ht="12.9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740000</v>
      </c>
      <c r="S988" s="1783"/>
      <c r="T988" s="1783"/>
      <c r="U988" s="1783"/>
      <c r="V988" s="1783"/>
      <c r="W988" s="1783"/>
      <c r="X988" s="1783"/>
      <c r="Y988" s="1783"/>
      <c r="Z988" s="1783"/>
      <c r="AA988" s="1783"/>
      <c r="AB988" s="1780">
        <f>CZ802</f>
        <v>18</v>
      </c>
      <c r="AC988" s="1781"/>
      <c r="AD988" s="1781"/>
      <c r="AE988" s="1781"/>
      <c r="AF988" s="1781"/>
      <c r="AG988" s="1781"/>
      <c r="AH988" s="1781"/>
      <c r="AI988" s="1782"/>
      <c r="AJ988" s="1716">
        <f>IF(ISERROR((R988*AB988)),0,(R988*AB988))</f>
        <v>13320000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947200</v>
      </c>
      <c r="S989" s="1783"/>
      <c r="T989" s="1783"/>
      <c r="U989" s="1783"/>
      <c r="V989" s="1783"/>
      <c r="W989" s="1783"/>
      <c r="X989" s="1783"/>
      <c r="Y989" s="1783"/>
      <c r="Z989" s="1783"/>
      <c r="AA989" s="1783"/>
      <c r="AB989" s="1780">
        <f>DE802</f>
        <v>17</v>
      </c>
      <c r="AC989" s="1781"/>
      <c r="AD989" s="1781"/>
      <c r="AE989" s="1781"/>
      <c r="AF989" s="1781"/>
      <c r="AG989" s="1781"/>
      <c r="AH989" s="1781"/>
      <c r="AI989" s="1782"/>
      <c r="AJ989" s="1716">
        <f>IF(ISERROR((R989*AB989)),0,(R989*AB989))</f>
        <v>16102400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5"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1055240</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5"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65</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5"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47826200</v>
      </c>
      <c r="AK992" s="1717"/>
      <c r="AL992" s="1717"/>
      <c r="AM992" s="1717"/>
      <c r="AN992" s="1717"/>
      <c r="AO992" s="1717"/>
      <c r="AP992" s="1717"/>
      <c r="AQ992" s="1718"/>
      <c r="AR992" s="68"/>
      <c r="AS992" s="68"/>
      <c r="AT992" s="68"/>
      <c r="AU992" s="68"/>
      <c r="AV992" s="68"/>
      <c r="AW992" s="68"/>
      <c r="AX992" s="68"/>
      <c r="AY992" s="68"/>
      <c r="AZ992" s="34"/>
      <c r="BB992" s="34"/>
      <c r="BC992" s="34"/>
    </row>
    <row r="993" spans="1:55" ht="12.9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5" customHeight="1">
      <c r="A994" s="14"/>
      <c r="B994" s="73"/>
      <c r="C994" s="927"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545</v>
      </c>
      <c r="AH994" s="1829"/>
      <c r="AI994" s="87"/>
      <c r="AJ994" s="1725">
        <f>ROUND(IF(AND(AG994="yes",D1000&gt;0),AJ992*0.2,0),0)</f>
        <v>9565240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5" customHeight="1">
      <c r="A995" s="14"/>
      <c r="B995" s="257"/>
      <c r="C995" s="256"/>
      <c r="D995" s="1768" t="s">
        <v>2234</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5"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5"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5"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5" customHeight="1">
      <c r="A999" s="14"/>
      <c r="B999" s="257"/>
      <c r="C999" s="256"/>
      <c r="D999" s="1771" t="s">
        <v>2205</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5" customHeight="1">
      <c r="A1000" s="14"/>
      <c r="B1000" s="257"/>
      <c r="C1000" s="256"/>
      <c r="D1000" s="1740" t="s">
        <v>2731</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5" customHeight="1">
      <c r="A1001" s="14"/>
      <c r="B1001" s="255"/>
      <c r="C1001" s="318"/>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5" customHeight="1">
      <c r="A1002" s="14"/>
      <c r="B1002" s="257"/>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5"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64</v>
      </c>
      <c r="AZ1003" s="34"/>
      <c r="BB1003" s="34"/>
    </row>
    <row r="1004" spans="1:55" ht="12.95"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5"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0.54</v>
      </c>
      <c r="AZ1005" s="34"/>
      <c r="BB1005" s="34"/>
    </row>
    <row r="1006" spans="1:55" ht="12.9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0.26</v>
      </c>
      <c r="AZ1006" s="34"/>
      <c r="BB1006" s="34"/>
    </row>
    <row r="1007" spans="1:55" ht="12.95" customHeight="1">
      <c r="A1007" s="14"/>
      <c r="B1007" s="255"/>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545</v>
      </c>
      <c r="AH1007" s="1752"/>
      <c r="AI1007" s="87"/>
      <c r="AJ1007" s="1725">
        <f>ROUND(IF(AG1007="yes",AJ992*0.1,0),0)</f>
        <v>4782620</v>
      </c>
      <c r="AK1007" s="1726"/>
      <c r="AL1007" s="1726"/>
      <c r="AM1007" s="1726"/>
      <c r="AN1007" s="1726"/>
      <c r="AO1007" s="1726"/>
      <c r="AP1007" s="1726"/>
      <c r="AQ1007" s="1727"/>
      <c r="AR1007" s="68"/>
      <c r="AS1007" s="68"/>
      <c r="AT1007" s="68"/>
      <c r="AU1007" s="68"/>
      <c r="AV1007" s="68"/>
      <c r="AW1007" s="68"/>
      <c r="AX1007" s="68"/>
      <c r="BB1007" s="34"/>
    </row>
    <row r="1008" spans="1:55" ht="12.95"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2.9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2.9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2.95" customHeight="1">
      <c r="A1011" s="14"/>
      <c r="B1011" s="79"/>
      <c r="C1011" s="80" t="s">
        <v>212</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1841</v>
      </c>
      <c r="AZ1012" s="3" t="s">
        <v>2606</v>
      </c>
    </row>
    <row r="1013" spans="1:52" ht="12.95" customHeight="1">
      <c r="A1013" s="14"/>
      <c r="B1013" s="79"/>
      <c r="C1013" s="80" t="s">
        <v>215</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4"/>
        <v>0</v>
      </c>
      <c r="AZ1015" s="1255">
        <v>0.05</v>
      </c>
    </row>
    <row r="1016" spans="1:52" ht="12.95" customHeight="1">
      <c r="A1016" s="14"/>
      <c r="B1016" s="79"/>
      <c r="C1016" s="80" t="s">
        <v>218</v>
      </c>
      <c r="D1016" s="1734" t="s">
        <v>2235</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545</v>
      </c>
      <c r="AH1016" s="1752"/>
      <c r="AI1016" s="87"/>
      <c r="AJ1016" s="1725">
        <f>IF(AG1016="yes",AJ992*AY1024,0)</f>
        <v>9565240</v>
      </c>
      <c r="AK1016" s="1726"/>
      <c r="AL1016" s="1726"/>
      <c r="AM1016" s="1726"/>
      <c r="AN1016" s="1726"/>
      <c r="AO1016" s="1726"/>
      <c r="AP1016" s="1726"/>
      <c r="AQ1016" s="1727"/>
      <c r="AR1016" s="68"/>
      <c r="AS1016" s="68"/>
      <c r="AT1016" s="68"/>
      <c r="AU1016" s="68"/>
      <c r="AV1016" s="68"/>
      <c r="AW1016" s="68"/>
      <c r="AX1016" s="3">
        <v>4</v>
      </c>
      <c r="AY1016" s="200">
        <f t="shared" si="54"/>
        <v>0</v>
      </c>
      <c r="AZ1016" s="1255">
        <v>0.02</v>
      </c>
    </row>
    <row r="1017" spans="1:52" ht="12.95"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4"/>
        <v>0</v>
      </c>
      <c r="AZ1017" s="1255">
        <v>0.04</v>
      </c>
    </row>
    <row r="1018" spans="1:52" ht="12.9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4"/>
        <v>0</v>
      </c>
      <c r="AZ1018" s="1255">
        <v>0.04</v>
      </c>
    </row>
    <row r="1019" spans="1:52" ht="12.9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4"/>
        <v>0</v>
      </c>
      <c r="AZ1019" s="1255">
        <v>0.01</v>
      </c>
    </row>
    <row r="1020" spans="1:52" ht="12.95" customHeight="1">
      <c r="A1020" s="14"/>
      <c r="B1020" s="79"/>
      <c r="C1020" s="80" t="s">
        <v>223</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4"/>
        <v>0</v>
      </c>
      <c r="AZ1020" s="1255">
        <v>0.01</v>
      </c>
    </row>
    <row r="1021" spans="1:52" ht="12.9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4"/>
        <v>0</v>
      </c>
      <c r="AZ1021" s="1255">
        <v>0.01</v>
      </c>
    </row>
    <row r="1022" spans="1:52" ht="12.95"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4"/>
        <v>0</v>
      </c>
      <c r="AZ1022" s="1255">
        <v>0.02</v>
      </c>
    </row>
    <row r="1023" spans="1:52" ht="12.9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822" t="s">
        <v>591</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2605</v>
      </c>
      <c r="AY1024" s="201">
        <f>IF(SUM(AY1013:AY1023)&lt;=0.2,SUM(AY1013:AY1023),0.2)</f>
        <v>0.2</v>
      </c>
    </row>
    <row r="1025" spans="1:57" ht="12.95" customHeight="1">
      <c r="A1025" s="14"/>
      <c r="B1025" s="79"/>
      <c r="C1025" s="80" t="s">
        <v>229</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545</v>
      </c>
      <c r="AH1025" s="1752"/>
      <c r="AI1025" s="87"/>
      <c r="AJ1025" s="1725">
        <f>ROUND(IF(AG1025="Yes",AF1027,0),0)</f>
        <v>1602585</v>
      </c>
      <c r="AK1025" s="1726"/>
      <c r="AL1025" s="1726"/>
      <c r="AM1025" s="1726"/>
      <c r="AN1025" s="1726"/>
      <c r="AO1025" s="1726"/>
      <c r="AP1025" s="1726"/>
      <c r="AQ1025" s="1727"/>
      <c r="AR1025" s="68"/>
      <c r="AS1025" s="68"/>
      <c r="AT1025" s="68"/>
      <c r="AU1025" s="68"/>
      <c r="AV1025" s="68"/>
      <c r="AW1025" s="68"/>
      <c r="AX1025" s="68"/>
      <c r="AY1025" s="68"/>
    </row>
    <row r="1026" spans="1:57" ht="12.95"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v>1602585</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5" customHeight="1">
      <c r="A1029" s="14"/>
      <c r="B1029" s="79"/>
      <c r="C1029" s="80" t="s">
        <v>234</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545</v>
      </c>
      <c r="AH1029" s="1752"/>
      <c r="AI1029" s="87"/>
      <c r="AJ1029" s="1725">
        <f>ROUND(IF(AG1029="yes",(AJ992*0.1),0),0)</f>
        <v>4782620</v>
      </c>
      <c r="AK1029" s="1726"/>
      <c r="AL1029" s="1726"/>
      <c r="AM1029" s="1726"/>
      <c r="AN1029" s="1726"/>
      <c r="AO1029" s="1726"/>
      <c r="AP1029" s="1726"/>
      <c r="AQ1029" s="1727"/>
      <c r="AR1029" s="68"/>
      <c r="AS1029" s="68"/>
      <c r="AT1029" s="68"/>
      <c r="AU1029" s="68"/>
      <c r="AV1029" s="68"/>
      <c r="AW1029" s="68"/>
      <c r="AX1029" s="68"/>
      <c r="AY1029" s="68"/>
    </row>
    <row r="1030" spans="1:57" ht="12.95"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5" customHeight="1">
      <c r="A1032" s="14"/>
      <c r="B1032" s="73"/>
      <c r="C1032" s="339"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5" customHeight="1">
      <c r="A1033" s="14"/>
      <c r="B1033" s="73"/>
      <c r="C1033" s="74"/>
      <c r="D1033" s="1802"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5" customHeight="1">
      <c r="A1034" s="14"/>
      <c r="B1034" s="73"/>
      <c r="C1034" s="74"/>
      <c r="D1034" s="1802"/>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5" customHeight="1">
      <c r="A1036" s="14"/>
      <c r="B1036" s="73"/>
      <c r="C1036" s="339"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545</v>
      </c>
      <c r="AH1036" s="1754"/>
      <c r="AI1036" s="83"/>
      <c r="AJ1036" s="1725">
        <f>ROUND(IF(AND(AG1036="yes",AJ1032=0),(AJ992*0.1),0),0)</f>
        <v>4782620</v>
      </c>
      <c r="AK1036" s="1726"/>
      <c r="AL1036" s="1726"/>
      <c r="AM1036" s="1726"/>
      <c r="AN1036" s="1726"/>
      <c r="AO1036" s="1726"/>
      <c r="AP1036" s="1726"/>
      <c r="AQ1036" s="1727"/>
      <c r="AR1036" s="68"/>
      <c r="AS1036" s="68"/>
      <c r="AT1036" s="68"/>
      <c r="AU1036" s="68"/>
      <c r="AV1036" s="68"/>
      <c r="AW1036" s="68"/>
      <c r="AX1036" s="68"/>
      <c r="AY1036" s="68"/>
    </row>
    <row r="1037" spans="1:57" ht="12.95" customHeight="1">
      <c r="A1037" s="14"/>
      <c r="B1037" s="73"/>
      <c r="C1037" s="74"/>
      <c r="D1037" s="1802"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5" customHeight="1">
      <c r="A1038" s="14"/>
      <c r="B1038" s="73"/>
      <c r="C1038" s="74"/>
      <c r="D1038" s="1802"/>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2"/>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0.8125</v>
      </c>
      <c r="BB1039" s="3" t="s">
        <v>2492</v>
      </c>
    </row>
    <row r="1040" spans="1:57" ht="12.9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17</v>
      </c>
      <c r="BB1041" s="3" t="s">
        <v>2490</v>
      </c>
    </row>
    <row r="1042" spans="1:56" ht="12.95" customHeight="1">
      <c r="A1042" s="14"/>
      <c r="B1042" s="73"/>
      <c r="C1042" s="74"/>
      <c r="D1042" s="1696" t="s">
        <v>2144</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0.265625</v>
      </c>
      <c r="BB1042" s="3" t="s">
        <v>2491</v>
      </c>
    </row>
    <row r="1043" spans="1:56" ht="12.9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5" customHeight="1">
      <c r="A1045" s="14"/>
      <c r="B1045" s="79"/>
      <c r="C1045" s="131" t="s">
        <v>1684</v>
      </c>
      <c r="D1045" s="1734" t="s">
        <v>1864</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25826148</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6515750.7000000002</v>
      </c>
      <c r="BA1046" s="1182">
        <f>IF(BA1040,20%,15%)</f>
        <v>0.15</v>
      </c>
      <c r="BB1046" s="3" t="s">
        <v>2478</v>
      </c>
      <c r="BC1046" s="3" t="s">
        <v>2479</v>
      </c>
      <c r="BD1046" s="3"/>
    </row>
    <row r="1047" spans="1:56" ht="12.95"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88">
        <f>AY1003</f>
        <v>64</v>
      </c>
      <c r="J1048" s="1789"/>
      <c r="K1048" s="7"/>
      <c r="L1048" s="133"/>
      <c r="M1048" s="133"/>
      <c r="N1048" s="133"/>
      <c r="O1048" s="133"/>
      <c r="P1048" s="133"/>
      <c r="Q1048" s="133"/>
      <c r="R1048" s="133"/>
      <c r="S1048" s="133"/>
      <c r="T1048" s="133"/>
      <c r="U1048" s="133"/>
      <c r="V1048" s="134" t="s">
        <v>973</v>
      </c>
      <c r="W1048" s="48"/>
      <c r="X1048" s="1786">
        <f>CI753</f>
        <v>35</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5" t="s">
        <v>2170</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24869624</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8">
        <f>AY1003</f>
        <v>64</v>
      </c>
      <c r="J1052" s="1789"/>
      <c r="K1052" s="14"/>
      <c r="L1052" s="133"/>
      <c r="M1052" s="133"/>
      <c r="N1052" s="133"/>
      <c r="O1052" s="133"/>
      <c r="P1052" s="133"/>
      <c r="Q1052" s="133"/>
      <c r="R1052" s="133"/>
      <c r="S1052" s="133"/>
      <c r="T1052" s="133"/>
      <c r="U1052" s="133"/>
      <c r="V1052" s="134" t="s">
        <v>974</v>
      </c>
      <c r="X1052" s="1786">
        <f>CM753</f>
        <v>17</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133602897</v>
      </c>
      <c r="AK1053" s="1800"/>
      <c r="AL1053" s="1800"/>
      <c r="AM1053" s="1800"/>
      <c r="AN1053" s="1800"/>
      <c r="AO1053" s="1800"/>
      <c r="AP1053" s="1800"/>
      <c r="AQ1053" s="1801"/>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49954088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6515750.7000000002</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0.55409396960755786</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6515750</v>
      </c>
      <c r="BB1058" s="3" t="s">
        <v>2493</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4015750</v>
      </c>
      <c r="BB1059" s="3" t="s">
        <v>2494</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545</v>
      </c>
      <c r="B1065" s="1415"/>
      <c r="C1065" s="1856">
        <v>1</v>
      </c>
      <c r="D1065" s="1856"/>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56">
        <v>2</v>
      </c>
      <c r="D1067" s="1856"/>
      <c r="E1067" s="1858" t="s">
        <v>2237</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591</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591</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591</v>
      </c>
      <c r="B1097" s="1415"/>
      <c r="C1097" s="1856">
        <v>9</v>
      </c>
      <c r="D1097" s="1856"/>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6"/>
      <c r="D1098" s="185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591</v>
      </c>
      <c r="B1100" s="1415"/>
      <c r="C1100" s="1856">
        <v>10</v>
      </c>
      <c r="D1100" s="1856"/>
      <c r="E1100" s="1857" t="s">
        <v>2238</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591</v>
      </c>
      <c r="B1103" s="1415"/>
      <c r="C1103" s="1856">
        <v>11</v>
      </c>
      <c r="D1103" s="1856"/>
      <c r="E1103" s="1857" t="s">
        <v>2240</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workbookViewId="0">
      <selection activeCell="B5" sqref="B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1)Citi Permanent Loan</v>
      </c>
      <c r="G2" s="139" t="str">
        <f>Application!B628&amp;Application!C628</f>
        <v>2)Deferred Developer Fee</v>
      </c>
      <c r="H2" s="139" t="str">
        <f>Application!B629&amp;Application!C629</f>
        <v>3)SMC AHF 12.5</v>
      </c>
      <c r="I2" s="139" t="str">
        <f>Application!B630&amp;Application!C630</f>
        <v>4)SMC AHF 12.0</v>
      </c>
      <c r="J2" s="139" t="str">
        <f>Application!B631&amp;Application!C631</f>
        <v>5)SMC AHF 11.0</v>
      </c>
      <c r="K2" s="139" t="str">
        <f>Application!B632&amp;Application!C632</f>
        <v>6)SMC AHF 13.0</v>
      </c>
      <c r="L2" s="139" t="str">
        <f>Application!B633&amp;Application!C633</f>
        <v>7)City of Belmont</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4550000</v>
      </c>
      <c r="C4" s="147">
        <v>4550000</v>
      </c>
      <c r="D4" s="147"/>
      <c r="E4" s="147">
        <f>C4</f>
        <v>4550000</v>
      </c>
      <c r="F4" s="147"/>
      <c r="G4" s="147"/>
      <c r="H4" s="147"/>
      <c r="I4" s="147"/>
      <c r="J4" s="147"/>
      <c r="K4" s="147"/>
      <c r="L4" s="147"/>
      <c r="M4" s="147"/>
      <c r="N4" s="147"/>
      <c r="O4" s="147"/>
      <c r="P4" s="147"/>
      <c r="Q4" s="147"/>
      <c r="R4" s="516">
        <f>SUM(E4:Q4)</f>
        <v>4550000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16">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4650000</v>
      </c>
      <c r="C8" s="146">
        <f t="shared" ref="C8:Q8" si="0">SUM(C4:C7)</f>
        <v>4650000</v>
      </c>
      <c r="D8" s="146">
        <f t="shared" si="0"/>
        <v>0</v>
      </c>
      <c r="E8" s="146">
        <f t="shared" si="0"/>
        <v>4650000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4650000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c r="F10" s="147"/>
      <c r="G10" s="147"/>
      <c r="H10" s="147"/>
      <c r="I10" s="147"/>
      <c r="J10" s="147"/>
      <c r="K10" s="147">
        <v>500000</v>
      </c>
      <c r="L10" s="147"/>
      <c r="M10" s="147"/>
      <c r="N10" s="147"/>
      <c r="O10" s="147"/>
      <c r="P10" s="147"/>
      <c r="Q10" s="147"/>
      <c r="R10" s="516">
        <f>SUM(E10:Q10)</f>
        <v>500000</v>
      </c>
      <c r="S10" s="147">
        <v>500000</v>
      </c>
      <c r="T10" s="147"/>
      <c r="U10" s="143"/>
    </row>
    <row r="11" spans="1:21" s="144" customFormat="1">
      <c r="A11" s="149" t="s">
        <v>596</v>
      </c>
      <c r="B11" s="146">
        <f>SUM(C11:D11)</f>
        <v>500000</v>
      </c>
      <c r="C11" s="146">
        <f t="shared" ref="C11:Q11" si="1">SUM(C9:C10)</f>
        <v>500000</v>
      </c>
      <c r="D11" s="146">
        <f t="shared" si="1"/>
        <v>0</v>
      </c>
      <c r="E11" s="146">
        <f t="shared" si="1"/>
        <v>0</v>
      </c>
      <c r="F11" s="146">
        <f t="shared" si="1"/>
        <v>0</v>
      </c>
      <c r="G11" s="146">
        <f t="shared" si="1"/>
        <v>0</v>
      </c>
      <c r="H11" s="146">
        <f t="shared" si="1"/>
        <v>0</v>
      </c>
      <c r="I11" s="146">
        <f t="shared" si="1"/>
        <v>0</v>
      </c>
      <c r="J11" s="146">
        <f t="shared" si="1"/>
        <v>0</v>
      </c>
      <c r="K11" s="146">
        <f t="shared" si="1"/>
        <v>500000</v>
      </c>
      <c r="L11" s="146">
        <f t="shared" si="1"/>
        <v>0</v>
      </c>
      <c r="M11" s="146">
        <f t="shared" si="1"/>
        <v>0</v>
      </c>
      <c r="N11" s="146">
        <f t="shared" si="1"/>
        <v>0</v>
      </c>
      <c r="O11" s="146">
        <f t="shared" si="1"/>
        <v>0</v>
      </c>
      <c r="P11" s="146"/>
      <c r="Q11" s="146">
        <f t="shared" si="1"/>
        <v>0</v>
      </c>
      <c r="R11" s="342">
        <f>SUM(R9:R10)</f>
        <v>500000</v>
      </c>
      <c r="S11" s="148"/>
      <c r="T11" s="150">
        <f>SUM(T9:T10)</f>
        <v>0</v>
      </c>
      <c r="U11" s="143"/>
    </row>
    <row r="12" spans="1:21" s="144" customFormat="1">
      <c r="A12" s="149" t="s">
        <v>84</v>
      </c>
      <c r="B12" s="146">
        <f t="shared" ref="B12:Q12" si="2">SUM(B8+B11)</f>
        <v>5150000</v>
      </c>
      <c r="C12" s="146">
        <f t="shared" si="2"/>
        <v>5150000</v>
      </c>
      <c r="D12" s="146">
        <f t="shared" si="2"/>
        <v>0</v>
      </c>
      <c r="E12" s="146">
        <f t="shared" si="2"/>
        <v>4650000</v>
      </c>
      <c r="F12" s="146">
        <f t="shared" si="2"/>
        <v>0</v>
      </c>
      <c r="G12" s="146">
        <f t="shared" si="2"/>
        <v>0</v>
      </c>
      <c r="H12" s="146">
        <f t="shared" si="2"/>
        <v>0</v>
      </c>
      <c r="I12" s="146">
        <f t="shared" si="2"/>
        <v>0</v>
      </c>
      <c r="J12" s="146">
        <f t="shared" si="2"/>
        <v>0</v>
      </c>
      <c r="K12" s="146">
        <f t="shared" si="2"/>
        <v>500000</v>
      </c>
      <c r="L12" s="146">
        <f t="shared" si="2"/>
        <v>0</v>
      </c>
      <c r="M12" s="146">
        <f t="shared" si="2"/>
        <v>0</v>
      </c>
      <c r="N12" s="146">
        <f t="shared" si="2"/>
        <v>0</v>
      </c>
      <c r="O12" s="146">
        <f t="shared" si="2"/>
        <v>0</v>
      </c>
      <c r="P12" s="146"/>
      <c r="Q12" s="146">
        <f t="shared" si="2"/>
        <v>0</v>
      </c>
      <c r="R12" s="342">
        <f>SUM(R8+R11)</f>
        <v>5150000</v>
      </c>
      <c r="S12" s="148"/>
      <c r="T12" s="148"/>
      <c r="U12" s="143"/>
    </row>
    <row r="13" spans="1:21" s="144" customFormat="1">
      <c r="A13" s="287" t="s">
        <v>902</v>
      </c>
      <c r="B13" s="146">
        <f>SUM(C13+D13)</f>
        <v>0</v>
      </c>
      <c r="C13" s="147">
        <v>0</v>
      </c>
      <c r="D13" s="147"/>
      <c r="E13" s="147">
        <f>C13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1000000</v>
      </c>
      <c r="C29" s="147">
        <v>1000000</v>
      </c>
      <c r="D29" s="147"/>
      <c r="E29" s="147"/>
      <c r="F29" s="147"/>
      <c r="G29" s="147"/>
      <c r="H29" s="147"/>
      <c r="I29" s="147"/>
      <c r="J29" s="147"/>
      <c r="K29" s="147">
        <v>1000000</v>
      </c>
      <c r="L29" s="147"/>
      <c r="M29" s="147"/>
      <c r="N29" s="147"/>
      <c r="O29" s="147"/>
      <c r="P29" s="147"/>
      <c r="Q29" s="147"/>
      <c r="R29" s="516">
        <f t="shared" ref="R29:R37" si="7">SUM(E29:Q29)</f>
        <v>1000000</v>
      </c>
      <c r="S29" s="147">
        <f>R29</f>
        <v>1000000</v>
      </c>
      <c r="T29" s="147"/>
      <c r="U29" s="143"/>
    </row>
    <row r="30" spans="1:21" s="144" customFormat="1">
      <c r="A30" s="145" t="s">
        <v>599</v>
      </c>
      <c r="B30" s="146">
        <f t="shared" si="6"/>
        <v>22980054</v>
      </c>
      <c r="C30" s="147">
        <v>22980054</v>
      </c>
      <c r="D30" s="147"/>
      <c r="E30" s="147">
        <f>C30-SUM(F30:L30)</f>
        <v>76791</v>
      </c>
      <c r="F30" s="147">
        <v>2500000</v>
      </c>
      <c r="G30" s="147"/>
      <c r="H30" s="147">
        <v>3000000</v>
      </c>
      <c r="I30" s="147">
        <v>4000000</v>
      </c>
      <c r="J30" s="147">
        <v>4403263</v>
      </c>
      <c r="K30" s="147">
        <v>8000000</v>
      </c>
      <c r="L30" s="147">
        <v>1000000</v>
      </c>
      <c r="M30" s="147"/>
      <c r="N30" s="147"/>
      <c r="O30" s="147"/>
      <c r="P30" s="147"/>
      <c r="Q30" s="147"/>
      <c r="R30" s="516">
        <f t="shared" si="7"/>
        <v>22980054</v>
      </c>
      <c r="S30" s="147">
        <f t="shared" ref="S30:S37" si="8">R30</f>
        <v>22980054</v>
      </c>
      <c r="T30" s="147"/>
      <c r="U30" s="143"/>
    </row>
    <row r="31" spans="1:21" s="144" customFormat="1">
      <c r="A31" s="145" t="s">
        <v>600</v>
      </c>
      <c r="B31" s="146">
        <f t="shared" si="6"/>
        <v>1762564</v>
      </c>
      <c r="C31" s="147">
        <v>1762564</v>
      </c>
      <c r="D31" s="147"/>
      <c r="E31" s="147">
        <f>C31-SUM(F31:L31)</f>
        <v>2564</v>
      </c>
      <c r="F31" s="147">
        <v>260000</v>
      </c>
      <c r="G31" s="147"/>
      <c r="H31" s="147"/>
      <c r="I31" s="147"/>
      <c r="J31" s="147"/>
      <c r="K31" s="147">
        <v>1500000</v>
      </c>
      <c r="L31" s="147"/>
      <c r="M31" s="147"/>
      <c r="N31" s="147"/>
      <c r="O31" s="147"/>
      <c r="P31" s="147"/>
      <c r="Q31" s="147"/>
      <c r="R31" s="516">
        <f t="shared" si="7"/>
        <v>1762564</v>
      </c>
      <c r="S31" s="147">
        <f t="shared" si="8"/>
        <v>1762564</v>
      </c>
      <c r="T31" s="147"/>
      <c r="U31" s="143"/>
    </row>
    <row r="32" spans="1:21" s="144" customFormat="1">
      <c r="A32" s="145" t="s">
        <v>137</v>
      </c>
      <c r="B32" s="146">
        <f t="shared" si="6"/>
        <v>1175043</v>
      </c>
      <c r="C32" s="147">
        <v>1175043</v>
      </c>
      <c r="D32" s="147"/>
      <c r="E32" s="147">
        <f>C32</f>
        <v>1175043</v>
      </c>
      <c r="F32" s="147"/>
      <c r="G32" s="147"/>
      <c r="H32" s="147"/>
      <c r="I32" s="147"/>
      <c r="J32" s="147"/>
      <c r="K32" s="147"/>
      <c r="L32" s="147"/>
      <c r="M32" s="147"/>
      <c r="N32" s="147"/>
      <c r="O32" s="147"/>
      <c r="P32" s="147"/>
      <c r="Q32" s="147"/>
      <c r="R32" s="516">
        <f t="shared" si="7"/>
        <v>1175043</v>
      </c>
      <c r="S32" s="147">
        <f t="shared" si="8"/>
        <v>1175043</v>
      </c>
      <c r="T32" s="147"/>
      <c r="U32" s="143"/>
    </row>
    <row r="33" spans="1:21" s="144" customFormat="1">
      <c r="A33" s="145" t="s">
        <v>138</v>
      </c>
      <c r="B33" s="146">
        <f t="shared" si="6"/>
        <v>1175043</v>
      </c>
      <c r="C33" s="147">
        <v>1175043</v>
      </c>
      <c r="D33" s="147"/>
      <c r="E33" s="147">
        <f>C33</f>
        <v>1175043</v>
      </c>
      <c r="F33" s="147"/>
      <c r="G33" s="147"/>
      <c r="H33" s="147"/>
      <c r="I33" s="147"/>
      <c r="J33" s="147"/>
      <c r="K33" s="147"/>
      <c r="L33" s="147"/>
      <c r="M33" s="147"/>
      <c r="N33" s="147"/>
      <c r="O33" s="147"/>
      <c r="P33" s="147"/>
      <c r="Q33" s="147"/>
      <c r="R33" s="516">
        <f t="shared" si="7"/>
        <v>1175043</v>
      </c>
      <c r="S33" s="147">
        <f t="shared" si="8"/>
        <v>1175043</v>
      </c>
      <c r="T33" s="147"/>
      <c r="U33" s="143"/>
    </row>
    <row r="34" spans="1:21" s="144" customFormat="1">
      <c r="A34" s="145" t="s">
        <v>139</v>
      </c>
      <c r="B34" s="146">
        <f t="shared" si="6"/>
        <v>4896011</v>
      </c>
      <c r="C34" s="147">
        <v>4896011</v>
      </c>
      <c r="D34" s="147"/>
      <c r="E34" s="147">
        <f>C34-F34</f>
        <v>3905323</v>
      </c>
      <c r="F34" s="147">
        <v>990688</v>
      </c>
      <c r="G34" s="147"/>
      <c r="H34" s="147"/>
      <c r="I34" s="147"/>
      <c r="J34" s="147"/>
      <c r="K34" s="147"/>
      <c r="L34" s="147"/>
      <c r="M34" s="147"/>
      <c r="N34" s="147"/>
      <c r="O34" s="147"/>
      <c r="P34" s="147"/>
      <c r="Q34" s="147"/>
      <c r="R34" s="516">
        <f t="shared" si="7"/>
        <v>4896011</v>
      </c>
      <c r="S34" s="147">
        <f t="shared" si="8"/>
        <v>4896011</v>
      </c>
      <c r="T34" s="147"/>
      <c r="U34" s="143"/>
    </row>
    <row r="35" spans="1:21" s="144" customFormat="1">
      <c r="A35" s="145" t="s">
        <v>140</v>
      </c>
      <c r="B35" s="146">
        <f t="shared" si="6"/>
        <v>334887</v>
      </c>
      <c r="C35" s="147">
        <v>334887</v>
      </c>
      <c r="D35" s="147"/>
      <c r="E35" s="147">
        <f>C35</f>
        <v>334887</v>
      </c>
      <c r="F35" s="147"/>
      <c r="G35" s="147"/>
      <c r="H35" s="147"/>
      <c r="I35" s="147"/>
      <c r="J35" s="147"/>
      <c r="K35" s="147"/>
      <c r="L35" s="147"/>
      <c r="M35" s="147"/>
      <c r="N35" s="147"/>
      <c r="O35" s="147"/>
      <c r="P35" s="147"/>
      <c r="Q35" s="147"/>
      <c r="R35" s="516">
        <f t="shared" si="7"/>
        <v>334887</v>
      </c>
      <c r="S35" s="147">
        <f t="shared" si="8"/>
        <v>334887</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33323602</v>
      </c>
      <c r="C38" s="146">
        <f>SUM(C29:C37)</f>
        <v>33323602</v>
      </c>
      <c r="D38" s="146">
        <f t="shared" ref="D38:Q38" si="9">SUM(D29:D37)</f>
        <v>0</v>
      </c>
      <c r="E38" s="146">
        <f t="shared" si="9"/>
        <v>6669651</v>
      </c>
      <c r="F38" s="146">
        <f t="shared" si="9"/>
        <v>3750688</v>
      </c>
      <c r="G38" s="146">
        <f t="shared" si="9"/>
        <v>0</v>
      </c>
      <c r="H38" s="146">
        <f t="shared" si="9"/>
        <v>3000000</v>
      </c>
      <c r="I38" s="146">
        <f t="shared" si="9"/>
        <v>4000000</v>
      </c>
      <c r="J38" s="146">
        <f t="shared" si="9"/>
        <v>4403263</v>
      </c>
      <c r="K38" s="146">
        <f t="shared" si="9"/>
        <v>10500000</v>
      </c>
      <c r="L38" s="146">
        <f t="shared" si="9"/>
        <v>1000000</v>
      </c>
      <c r="M38" s="146">
        <f t="shared" si="9"/>
        <v>0</v>
      </c>
      <c r="N38" s="146">
        <f t="shared" si="9"/>
        <v>0</v>
      </c>
      <c r="O38" s="146">
        <f t="shared" si="9"/>
        <v>0</v>
      </c>
      <c r="P38" s="146">
        <f t="shared" si="9"/>
        <v>0</v>
      </c>
      <c r="Q38" s="146">
        <f t="shared" si="9"/>
        <v>0</v>
      </c>
      <c r="R38" s="342">
        <f>SUM(R29:R37)</f>
        <v>33323602</v>
      </c>
      <c r="S38" s="150">
        <f>SUM(S29:S37)</f>
        <v>33323602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1020000</v>
      </c>
      <c r="C40" s="147">
        <v>1020000</v>
      </c>
      <c r="D40" s="147"/>
      <c r="E40" s="147">
        <f>C40</f>
        <v>1020000</v>
      </c>
      <c r="F40" s="147"/>
      <c r="G40" s="147"/>
      <c r="H40" s="147"/>
      <c r="I40" s="147"/>
      <c r="J40" s="147"/>
      <c r="K40" s="147"/>
      <c r="L40" s="147"/>
      <c r="M40" s="147"/>
      <c r="N40" s="147"/>
      <c r="O40" s="147"/>
      <c r="P40" s="147"/>
      <c r="Q40" s="147"/>
      <c r="R40" s="516">
        <f>SUM(E40:Q40)</f>
        <v>1020000</v>
      </c>
      <c r="S40" s="147">
        <f>R40</f>
        <v>1020000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1020000</v>
      </c>
      <c r="C42" s="146">
        <f>SUM(C39:C41)</f>
        <v>1020000</v>
      </c>
      <c r="D42" s="146">
        <f>SUM(D39:D41)</f>
        <v>0</v>
      </c>
      <c r="E42" s="146">
        <f t="shared" ref="E42:T42" si="10">SUM(E40:E41)</f>
        <v>1020000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1020000</v>
      </c>
      <c r="S42" s="150">
        <f t="shared" si="10"/>
        <v>1020000</v>
      </c>
      <c r="T42" s="150">
        <f t="shared" si="10"/>
        <v>0</v>
      </c>
      <c r="U42" s="143"/>
    </row>
    <row r="43" spans="1:21" s="144" customFormat="1">
      <c r="A43" s="149" t="s">
        <v>148</v>
      </c>
      <c r="B43" s="146">
        <f>SUM(C43:D43)</f>
        <v>650000</v>
      </c>
      <c r="C43" s="147">
        <v>650000</v>
      </c>
      <c r="D43" s="147"/>
      <c r="E43" s="147">
        <v>650000</v>
      </c>
      <c r="F43" s="147"/>
      <c r="G43" s="147"/>
      <c r="H43" s="147"/>
      <c r="I43" s="147"/>
      <c r="J43" s="147"/>
      <c r="K43" s="147"/>
      <c r="L43" s="147"/>
      <c r="M43" s="147"/>
      <c r="N43" s="147"/>
      <c r="O43" s="147"/>
      <c r="P43" s="147"/>
      <c r="Q43" s="147"/>
      <c r="R43" s="516">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2541153</v>
      </c>
      <c r="C45" s="147">
        <v>2541153</v>
      </c>
      <c r="D45" s="147"/>
      <c r="E45" s="147">
        <f>C45</f>
        <v>2541153</v>
      </c>
      <c r="F45" s="147"/>
      <c r="G45" s="147"/>
      <c r="H45" s="147"/>
      <c r="I45" s="147"/>
      <c r="J45" s="147"/>
      <c r="K45" s="147"/>
      <c r="L45" s="147"/>
      <c r="M45" s="147"/>
      <c r="N45" s="147"/>
      <c r="O45" s="147"/>
      <c r="P45" s="147"/>
      <c r="Q45" s="147"/>
      <c r="R45" s="516">
        <f t="shared" ref="R45:R53" si="12">SUM(E45:Q45)</f>
        <v>2541153</v>
      </c>
      <c r="S45" s="147">
        <v>1225628</v>
      </c>
      <c r="T45" s="147"/>
      <c r="U45" s="143"/>
    </row>
    <row r="46" spans="1:21" s="144" customFormat="1">
      <c r="A46" s="145" t="s">
        <v>151</v>
      </c>
      <c r="B46" s="146">
        <f t="shared" si="11"/>
        <v>180573</v>
      </c>
      <c r="C46" s="147">
        <v>180573</v>
      </c>
      <c r="D46" s="147"/>
      <c r="E46" s="147">
        <f t="shared" ref="E46:E53" si="13">C46</f>
        <v>180573</v>
      </c>
      <c r="F46" s="147"/>
      <c r="G46" s="147"/>
      <c r="H46" s="147"/>
      <c r="I46" s="147"/>
      <c r="J46" s="147"/>
      <c r="K46" s="147"/>
      <c r="L46" s="147"/>
      <c r="M46" s="147"/>
      <c r="N46" s="147"/>
      <c r="O46" s="147"/>
      <c r="P46" s="147"/>
      <c r="Q46" s="147"/>
      <c r="R46" s="516">
        <f t="shared" si="12"/>
        <v>180573</v>
      </c>
      <c r="S46" s="147">
        <v>135430</v>
      </c>
      <c r="T46" s="147"/>
      <c r="U46" s="143"/>
    </row>
    <row r="47" spans="1:21" s="144" customFormat="1">
      <c r="A47" s="186" t="s">
        <v>152</v>
      </c>
      <c r="B47" s="146">
        <f t="shared" si="11"/>
        <v>15000</v>
      </c>
      <c r="C47" s="147">
        <v>15000</v>
      </c>
      <c r="D47" s="147"/>
      <c r="E47" s="147">
        <f t="shared" si="13"/>
        <v>15000</v>
      </c>
      <c r="F47" s="147"/>
      <c r="G47" s="147"/>
      <c r="H47" s="147"/>
      <c r="I47" s="147"/>
      <c r="J47" s="147"/>
      <c r="K47" s="147"/>
      <c r="L47" s="147"/>
      <c r="M47" s="147"/>
      <c r="N47" s="147"/>
      <c r="O47" s="147"/>
      <c r="P47" s="147"/>
      <c r="Q47" s="147"/>
      <c r="R47" s="516">
        <f t="shared" si="12"/>
        <v>15000</v>
      </c>
      <c r="S47" s="147">
        <v>11250</v>
      </c>
      <c r="T47" s="147"/>
      <c r="U47" s="143"/>
    </row>
    <row r="48" spans="1:21" s="144" customFormat="1">
      <c r="A48" s="145" t="s">
        <v>153</v>
      </c>
      <c r="B48" s="146">
        <f t="shared" si="11"/>
        <v>301398</v>
      </c>
      <c r="C48" s="147">
        <v>301398</v>
      </c>
      <c r="D48" s="147"/>
      <c r="E48" s="147">
        <f t="shared" si="13"/>
        <v>301398</v>
      </c>
      <c r="F48" s="147"/>
      <c r="G48" s="147"/>
      <c r="H48" s="147"/>
      <c r="I48" s="147"/>
      <c r="J48" s="147"/>
      <c r="K48" s="147"/>
      <c r="L48" s="147"/>
      <c r="M48" s="147"/>
      <c r="N48" s="147"/>
      <c r="O48" s="147"/>
      <c r="P48" s="147"/>
      <c r="Q48" s="147"/>
      <c r="R48" s="516">
        <f t="shared" si="12"/>
        <v>301398</v>
      </c>
      <c r="S48" s="147">
        <f>R48</f>
        <v>301398</v>
      </c>
      <c r="T48" s="147"/>
      <c r="U48" s="143"/>
    </row>
    <row r="49" spans="1:21" s="144" customFormat="1">
      <c r="A49" s="145" t="s">
        <v>57</v>
      </c>
      <c r="B49" s="146">
        <f t="shared" si="11"/>
        <v>45143</v>
      </c>
      <c r="C49" s="147">
        <v>45143</v>
      </c>
      <c r="D49" s="147"/>
      <c r="E49" s="147">
        <f t="shared" si="13"/>
        <v>45143</v>
      </c>
      <c r="F49" s="147"/>
      <c r="G49" s="147"/>
      <c r="H49" s="147"/>
      <c r="I49" s="147"/>
      <c r="J49" s="147"/>
      <c r="K49" s="147"/>
      <c r="L49" s="147"/>
      <c r="M49" s="147"/>
      <c r="N49" s="147"/>
      <c r="O49" s="147"/>
      <c r="P49" s="147"/>
      <c r="Q49" s="147"/>
      <c r="R49" s="516">
        <f t="shared" si="12"/>
        <v>45143</v>
      </c>
      <c r="S49" s="147">
        <f>R49</f>
        <v>45143</v>
      </c>
      <c r="T49" s="147"/>
      <c r="U49" s="143"/>
    </row>
    <row r="50" spans="1:21" s="144" customFormat="1">
      <c r="A50" s="145" t="s">
        <v>156</v>
      </c>
      <c r="B50" s="146">
        <f t="shared" si="11"/>
        <v>100000</v>
      </c>
      <c r="C50" s="147">
        <v>100000</v>
      </c>
      <c r="D50" s="147"/>
      <c r="E50" s="147">
        <f t="shared" si="13"/>
        <v>100000</v>
      </c>
      <c r="F50" s="147"/>
      <c r="G50" s="147"/>
      <c r="H50" s="147"/>
      <c r="I50" s="147"/>
      <c r="J50" s="147"/>
      <c r="K50" s="147"/>
      <c r="L50" s="147"/>
      <c r="M50" s="147"/>
      <c r="N50" s="147"/>
      <c r="O50" s="147"/>
      <c r="P50" s="147"/>
      <c r="Q50" s="147"/>
      <c r="R50" s="516">
        <f t="shared" si="12"/>
        <v>100000</v>
      </c>
      <c r="S50" s="147">
        <v>75000</v>
      </c>
      <c r="T50" s="147"/>
      <c r="U50" s="143"/>
    </row>
    <row r="51" spans="1:21" s="144" customFormat="1">
      <c r="A51" s="283" t="s">
        <v>154</v>
      </c>
      <c r="B51" s="146">
        <f t="shared" si="11"/>
        <v>105000</v>
      </c>
      <c r="C51" s="147">
        <v>105000</v>
      </c>
      <c r="D51" s="147"/>
      <c r="E51" s="147">
        <f t="shared" si="13"/>
        <v>105000</v>
      </c>
      <c r="F51" s="147"/>
      <c r="G51" s="147"/>
      <c r="H51" s="147"/>
      <c r="I51" s="147"/>
      <c r="J51" s="147"/>
      <c r="K51" s="147"/>
      <c r="L51" s="147"/>
      <c r="M51" s="147"/>
      <c r="N51" s="147"/>
      <c r="O51" s="147"/>
      <c r="P51" s="147"/>
      <c r="Q51" s="147"/>
      <c r="R51" s="516">
        <f t="shared" si="12"/>
        <v>105000</v>
      </c>
      <c r="S51" s="147">
        <f>R51</f>
        <v>105000</v>
      </c>
      <c r="T51" s="147"/>
      <c r="U51" s="143"/>
    </row>
    <row r="52" spans="1:21" s="144" customFormat="1">
      <c r="A52" s="145" t="s">
        <v>155</v>
      </c>
      <c r="B52" s="146">
        <f t="shared" si="11"/>
        <v>512000</v>
      </c>
      <c r="C52" s="147">
        <v>512000</v>
      </c>
      <c r="D52" s="147"/>
      <c r="E52" s="147">
        <f t="shared" si="13"/>
        <v>512000</v>
      </c>
      <c r="F52" s="147"/>
      <c r="G52" s="147"/>
      <c r="H52" s="147"/>
      <c r="I52" s="147"/>
      <c r="J52" s="147"/>
      <c r="K52" s="147"/>
      <c r="L52" s="147"/>
      <c r="M52" s="147"/>
      <c r="N52" s="147"/>
      <c r="O52" s="147"/>
      <c r="P52" s="147"/>
      <c r="Q52" s="147"/>
      <c r="R52" s="516">
        <f t="shared" si="12"/>
        <v>512000</v>
      </c>
      <c r="S52" s="147">
        <f>R52</f>
        <v>512000</v>
      </c>
      <c r="T52" s="147"/>
      <c r="U52" s="143"/>
    </row>
    <row r="53" spans="1:21" s="144" customFormat="1" ht="24">
      <c r="A53" s="1149" t="s">
        <v>2747</v>
      </c>
      <c r="B53" s="146">
        <f t="shared" si="11"/>
        <v>145000</v>
      </c>
      <c r="C53" s="147">
        <f>25000+120000</f>
        <v>145000</v>
      </c>
      <c r="D53" s="147"/>
      <c r="E53" s="147">
        <f t="shared" si="13"/>
        <v>145000</v>
      </c>
      <c r="F53" s="147"/>
      <c r="G53" s="147"/>
      <c r="H53" s="147"/>
      <c r="I53" s="147"/>
      <c r="J53" s="147"/>
      <c r="K53" s="147"/>
      <c r="L53" s="147"/>
      <c r="M53" s="147"/>
      <c r="N53" s="147"/>
      <c r="O53" s="147"/>
      <c r="P53" s="147"/>
      <c r="Q53" s="147"/>
      <c r="R53" s="516">
        <f t="shared" si="12"/>
        <v>145000</v>
      </c>
      <c r="S53" s="147">
        <f>R53</f>
        <v>145000</v>
      </c>
      <c r="T53" s="147"/>
      <c r="U53" s="143"/>
    </row>
    <row r="54" spans="1:21" s="153" customFormat="1">
      <c r="A54" s="149" t="s">
        <v>157</v>
      </c>
      <c r="B54" s="150">
        <f>SUM(C54:D54)</f>
        <v>3945267</v>
      </c>
      <c r="C54" s="150">
        <f t="shared" ref="C54:T54" si="14">SUM(C45:C53)</f>
        <v>3945267</v>
      </c>
      <c r="D54" s="150">
        <f t="shared" si="14"/>
        <v>0</v>
      </c>
      <c r="E54" s="150">
        <f t="shared" si="14"/>
        <v>3945267</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3945267</v>
      </c>
      <c r="S54" s="150">
        <f t="shared" si="14"/>
        <v>2555849</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16">
        <f t="shared" ref="R56:R61" si="16">SUM(E56:Q56)</f>
        <v>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10000</v>
      </c>
      <c r="C58" s="147">
        <v>10000</v>
      </c>
      <c r="D58" s="147"/>
      <c r="E58" s="147">
        <f>C58</f>
        <v>10000</v>
      </c>
      <c r="F58" s="147"/>
      <c r="G58" s="147"/>
      <c r="H58" s="147"/>
      <c r="I58" s="147"/>
      <c r="J58" s="147"/>
      <c r="K58" s="147"/>
      <c r="L58" s="147"/>
      <c r="M58" s="147"/>
      <c r="N58" s="147"/>
      <c r="O58" s="147"/>
      <c r="P58" s="147"/>
      <c r="Q58" s="147"/>
      <c r="R58" s="516">
        <f t="shared" si="16"/>
        <v>10000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2748</v>
      </c>
      <c r="B61" s="146">
        <f t="shared" si="15"/>
        <v>15000</v>
      </c>
      <c r="C61" s="147">
        <v>15000</v>
      </c>
      <c r="D61" s="147"/>
      <c r="E61" s="147">
        <f>C61</f>
        <v>15000</v>
      </c>
      <c r="F61" s="147"/>
      <c r="G61" s="147"/>
      <c r="H61" s="147"/>
      <c r="I61" s="147"/>
      <c r="J61" s="147"/>
      <c r="K61" s="147"/>
      <c r="L61" s="147"/>
      <c r="M61" s="147"/>
      <c r="N61" s="147"/>
      <c r="O61" s="147"/>
      <c r="P61" s="147"/>
      <c r="Q61" s="147"/>
      <c r="R61" s="516">
        <f t="shared" si="16"/>
        <v>15000</v>
      </c>
      <c r="S61" s="148"/>
      <c r="T61" s="148"/>
      <c r="U61" s="143"/>
    </row>
    <row r="62" spans="1:21" s="144" customFormat="1" ht="13.7" customHeight="1">
      <c r="A62" s="149" t="s">
        <v>301</v>
      </c>
      <c r="B62" s="146">
        <f>SUM(C62:D62)</f>
        <v>25000</v>
      </c>
      <c r="C62" s="146">
        <f t="shared" ref="C62:R62" si="17">SUM(C56:C61)</f>
        <v>25000</v>
      </c>
      <c r="D62" s="146">
        <f t="shared" si="17"/>
        <v>0</v>
      </c>
      <c r="E62" s="146">
        <f t="shared" si="17"/>
        <v>25000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25000</v>
      </c>
      <c r="S62" s="148"/>
      <c r="T62" s="148"/>
      <c r="U62" s="143"/>
    </row>
    <row r="63" spans="1:21" s="144" customFormat="1">
      <c r="A63" s="154" t="s">
        <v>302</v>
      </c>
      <c r="B63" s="146">
        <f t="shared" ref="B63:R63" si="18">SUM(B8+B11+B13+B14+B15+B26+B27+B38+B42+B43+B54+B62)</f>
        <v>44113869</v>
      </c>
      <c r="C63" s="146">
        <f t="shared" si="18"/>
        <v>44113869</v>
      </c>
      <c r="D63" s="146">
        <f t="shared" si="18"/>
        <v>0</v>
      </c>
      <c r="E63" s="146">
        <f t="shared" si="18"/>
        <v>16959918</v>
      </c>
      <c r="F63" s="146">
        <f t="shared" si="18"/>
        <v>3750688</v>
      </c>
      <c r="G63" s="146">
        <f t="shared" si="18"/>
        <v>0</v>
      </c>
      <c r="H63" s="146">
        <f t="shared" si="18"/>
        <v>3000000</v>
      </c>
      <c r="I63" s="146">
        <f t="shared" si="18"/>
        <v>4000000</v>
      </c>
      <c r="J63" s="146">
        <f t="shared" si="18"/>
        <v>4403263</v>
      </c>
      <c r="K63" s="146">
        <f t="shared" si="18"/>
        <v>11000000</v>
      </c>
      <c r="L63" s="146">
        <f t="shared" si="18"/>
        <v>1000000</v>
      </c>
      <c r="M63" s="146">
        <f t="shared" si="18"/>
        <v>0</v>
      </c>
      <c r="N63" s="146">
        <f t="shared" si="18"/>
        <v>0</v>
      </c>
      <c r="O63" s="146">
        <f t="shared" si="18"/>
        <v>0</v>
      </c>
      <c r="P63" s="146">
        <f t="shared" si="18"/>
        <v>0</v>
      </c>
      <c r="Q63" s="146">
        <f t="shared" si="18"/>
        <v>0</v>
      </c>
      <c r="R63" s="342">
        <f t="shared" si="18"/>
        <v>44113869</v>
      </c>
      <c r="S63" s="146">
        <f>SUM(S10+S13+S14+S15+S26+S27+S38+S42+S43+S54)</f>
        <v>38049451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f t="shared" ref="S66:S68" si="19">R66</f>
        <v>0</v>
      </c>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f t="shared" si="19"/>
        <v>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f t="shared" si="19"/>
        <v>0</v>
      </c>
      <c r="T68" s="147"/>
      <c r="U68" s="143"/>
    </row>
    <row r="69" spans="1:21" s="144" customFormat="1">
      <c r="A69" s="1149" t="s">
        <v>2754</v>
      </c>
      <c r="B69" s="146">
        <f>SUM(C69+D69)</f>
        <v>275000</v>
      </c>
      <c r="C69" s="147">
        <f>125000+50000+50000+50000</f>
        <v>275000</v>
      </c>
      <c r="D69" s="147"/>
      <c r="E69" s="147">
        <f>C69</f>
        <v>275000</v>
      </c>
      <c r="F69" s="147"/>
      <c r="G69" s="147"/>
      <c r="H69" s="147"/>
      <c r="I69" s="147"/>
      <c r="J69" s="147"/>
      <c r="K69" s="147"/>
      <c r="L69" s="147"/>
      <c r="M69" s="147"/>
      <c r="N69" s="147"/>
      <c r="O69" s="147"/>
      <c r="P69" s="147"/>
      <c r="Q69" s="147"/>
      <c r="R69" s="516">
        <f>SUM(E69:Q69)</f>
        <v>275000</v>
      </c>
      <c r="S69" s="147">
        <v>125000</v>
      </c>
      <c r="T69" s="147"/>
      <c r="U69" s="143"/>
    </row>
    <row r="70" spans="1:21" s="144" customFormat="1">
      <c r="A70" s="149" t="s">
        <v>1645</v>
      </c>
      <c r="B70" s="146">
        <f>SUM(C70:D70)</f>
        <v>375000</v>
      </c>
      <c r="C70" s="146">
        <f>SUM(C65:C69)</f>
        <v>375000</v>
      </c>
      <c r="D70" s="146">
        <f>SUM(D65:D69)</f>
        <v>0</v>
      </c>
      <c r="E70" s="146">
        <f t="shared" ref="E70:T70" si="20">SUM(E65:E69)</f>
        <v>375000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375000</v>
      </c>
      <c r="S70" s="150">
        <f t="shared" si="20"/>
        <v>225000</v>
      </c>
      <c r="T70" s="150">
        <f t="shared" si="20"/>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599515</v>
      </c>
      <c r="C75" s="147">
        <v>599515</v>
      </c>
      <c r="D75" s="147"/>
      <c r="E75" s="147">
        <f>C75</f>
        <v>599515</v>
      </c>
      <c r="F75" s="147"/>
      <c r="G75" s="147"/>
      <c r="H75" s="147"/>
      <c r="I75" s="147"/>
      <c r="J75" s="147"/>
      <c r="K75" s="147"/>
      <c r="L75" s="147"/>
      <c r="M75" s="147"/>
      <c r="N75" s="147"/>
      <c r="O75" s="147"/>
      <c r="P75" s="147"/>
      <c r="Q75" s="147"/>
      <c r="R75" s="516">
        <f>SUM(E75:Q75)</f>
        <v>599515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599515</v>
      </c>
      <c r="C77" s="146">
        <f>SUM(C72:C76)</f>
        <v>599515</v>
      </c>
      <c r="D77" s="146">
        <f>SUM(D72:D76)</f>
        <v>0</v>
      </c>
      <c r="E77" s="146">
        <f t="shared" ref="E77:Q77" si="21">SUM(E72:E76)</f>
        <v>599515</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599515</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1711250</v>
      </c>
      <c r="C79" s="147">
        <v>1711250</v>
      </c>
      <c r="D79" s="147"/>
      <c r="E79" s="147">
        <f>C79</f>
        <v>1711250</v>
      </c>
      <c r="F79" s="147"/>
      <c r="G79" s="147"/>
      <c r="H79" s="147"/>
      <c r="I79" s="147"/>
      <c r="J79" s="147"/>
      <c r="K79" s="147"/>
      <c r="L79" s="147"/>
      <c r="M79" s="147"/>
      <c r="N79" s="147"/>
      <c r="O79" s="147"/>
      <c r="P79" s="147"/>
      <c r="Q79" s="147"/>
      <c r="R79" s="516">
        <f>SUM(E79:Q79)</f>
        <v>1711250</v>
      </c>
      <c r="S79" s="147">
        <f>R79</f>
        <v>1711250</v>
      </c>
      <c r="T79" s="147"/>
      <c r="U79" s="143"/>
    </row>
    <row r="80" spans="1:21" s="144" customFormat="1">
      <c r="A80" s="283" t="s">
        <v>58</v>
      </c>
      <c r="B80" s="146">
        <f>SUM(C80:D80)</f>
        <v>395037</v>
      </c>
      <c r="C80" s="147">
        <v>395037</v>
      </c>
      <c r="D80" s="147"/>
      <c r="E80" s="147">
        <f>C80</f>
        <v>395037</v>
      </c>
      <c r="F80" s="147"/>
      <c r="G80" s="147"/>
      <c r="H80" s="147"/>
      <c r="I80" s="147"/>
      <c r="J80" s="147"/>
      <c r="K80" s="147"/>
      <c r="L80" s="147"/>
      <c r="M80" s="147"/>
      <c r="N80" s="147"/>
      <c r="O80" s="147"/>
      <c r="P80" s="147"/>
      <c r="Q80" s="147"/>
      <c r="R80" s="516">
        <f>SUM(E80:Q80)</f>
        <v>395037</v>
      </c>
      <c r="S80" s="147">
        <f t="shared" ref="S80" si="22">R80</f>
        <v>395037</v>
      </c>
      <c r="T80" s="147"/>
      <c r="U80" s="143"/>
    </row>
    <row r="81" spans="1:21" s="144" customFormat="1">
      <c r="A81" s="149" t="s">
        <v>1209</v>
      </c>
      <c r="B81" s="146">
        <f>SUM(C81:D81)</f>
        <v>2106287</v>
      </c>
      <c r="C81" s="509">
        <f>SUM(C79:C80)</f>
        <v>2106287</v>
      </c>
      <c r="D81" s="509">
        <f t="shared" ref="D81:T81" si="23">SUM(D79:D80)</f>
        <v>0</v>
      </c>
      <c r="E81" s="509">
        <f t="shared" si="23"/>
        <v>2106287</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2106287</v>
      </c>
      <c r="S81" s="509">
        <f t="shared" si="23"/>
        <v>2106287</v>
      </c>
      <c r="T81" s="509">
        <f t="shared" si="2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4">SUM(C83+D83)</f>
        <v>72796</v>
      </c>
      <c r="C83" s="147">
        <v>72796</v>
      </c>
      <c r="D83" s="147"/>
      <c r="E83" s="147">
        <f>C83</f>
        <v>72796</v>
      </c>
      <c r="F83" s="147"/>
      <c r="G83" s="147"/>
      <c r="H83" s="147"/>
      <c r="I83" s="147"/>
      <c r="J83" s="147"/>
      <c r="K83" s="147"/>
      <c r="L83" s="147"/>
      <c r="M83" s="147"/>
      <c r="N83" s="147"/>
      <c r="O83" s="147"/>
      <c r="P83" s="147"/>
      <c r="Q83" s="147"/>
      <c r="R83" s="516">
        <f t="shared" ref="R83:R95" si="25">SUM(E83:Q83)</f>
        <v>72796</v>
      </c>
      <c r="S83" s="148"/>
      <c r="T83" s="148"/>
      <c r="U83" s="143"/>
    </row>
    <row r="84" spans="1:21" s="144" customFormat="1">
      <c r="A84" s="145" t="s">
        <v>767</v>
      </c>
      <c r="B84" s="146">
        <f t="shared" si="24"/>
        <v>50000</v>
      </c>
      <c r="C84" s="147">
        <v>50000</v>
      </c>
      <c r="D84" s="147"/>
      <c r="E84" s="147">
        <f t="shared" ref="E84:E95" si="26">C84</f>
        <v>50000</v>
      </c>
      <c r="F84" s="147"/>
      <c r="G84" s="147"/>
      <c r="H84" s="147"/>
      <c r="I84" s="147"/>
      <c r="J84" s="147"/>
      <c r="K84" s="147"/>
      <c r="L84" s="147"/>
      <c r="M84" s="147"/>
      <c r="N84" s="147"/>
      <c r="O84" s="147"/>
      <c r="P84" s="147"/>
      <c r="Q84" s="147"/>
      <c r="R84" s="516">
        <f t="shared" si="25"/>
        <v>50000</v>
      </c>
      <c r="S84" s="147">
        <f>R84</f>
        <v>50000</v>
      </c>
      <c r="T84" s="147"/>
      <c r="U84" s="143"/>
    </row>
    <row r="85" spans="1:21" s="144" customFormat="1">
      <c r="A85" s="145" t="s">
        <v>768</v>
      </c>
      <c r="B85" s="146">
        <f t="shared" si="24"/>
        <v>1602585</v>
      </c>
      <c r="C85" s="147">
        <v>1602585</v>
      </c>
      <c r="D85" s="147"/>
      <c r="E85" s="147">
        <f t="shared" si="26"/>
        <v>1602585</v>
      </c>
      <c r="F85" s="147"/>
      <c r="G85" s="147"/>
      <c r="H85" s="147"/>
      <c r="I85" s="147"/>
      <c r="J85" s="147"/>
      <c r="K85" s="147"/>
      <c r="L85" s="147"/>
      <c r="M85" s="147"/>
      <c r="N85" s="147"/>
      <c r="O85" s="147"/>
      <c r="P85" s="147"/>
      <c r="Q85" s="147"/>
      <c r="R85" s="516">
        <f t="shared" si="25"/>
        <v>1602585</v>
      </c>
      <c r="S85" s="147">
        <f t="shared" ref="S85:S87" si="27">R85</f>
        <v>1602585</v>
      </c>
      <c r="T85" s="147"/>
      <c r="U85" s="143"/>
    </row>
    <row r="86" spans="1:21" s="144" customFormat="1">
      <c r="A86" s="145" t="s">
        <v>769</v>
      </c>
      <c r="B86" s="146">
        <f t="shared" si="24"/>
        <v>672415</v>
      </c>
      <c r="C86" s="147">
        <v>672415</v>
      </c>
      <c r="D86" s="147"/>
      <c r="E86" s="147">
        <f t="shared" si="26"/>
        <v>672415</v>
      </c>
      <c r="F86" s="147"/>
      <c r="G86" s="147"/>
      <c r="H86" s="147"/>
      <c r="I86" s="147"/>
      <c r="J86" s="147"/>
      <c r="K86" s="147"/>
      <c r="L86" s="147"/>
      <c r="M86" s="147"/>
      <c r="N86" s="147"/>
      <c r="O86" s="147"/>
      <c r="P86" s="147"/>
      <c r="Q86" s="147"/>
      <c r="R86" s="516">
        <f t="shared" si="25"/>
        <v>672415</v>
      </c>
      <c r="S86" s="147">
        <f t="shared" si="27"/>
        <v>672415</v>
      </c>
      <c r="T86" s="147"/>
      <c r="U86" s="143"/>
    </row>
    <row r="87" spans="1:21" s="144" customFormat="1">
      <c r="A87" s="145" t="s">
        <v>770</v>
      </c>
      <c r="B87" s="146">
        <f t="shared" si="24"/>
        <v>0</v>
      </c>
      <c r="C87" s="147"/>
      <c r="D87" s="147"/>
      <c r="E87" s="147">
        <f t="shared" si="26"/>
        <v>0</v>
      </c>
      <c r="F87" s="147"/>
      <c r="G87" s="147"/>
      <c r="H87" s="147"/>
      <c r="I87" s="147"/>
      <c r="J87" s="147"/>
      <c r="K87" s="147"/>
      <c r="L87" s="147"/>
      <c r="M87" s="147"/>
      <c r="N87" s="147"/>
      <c r="O87" s="147"/>
      <c r="P87" s="147"/>
      <c r="Q87" s="147"/>
      <c r="R87" s="516">
        <f t="shared" si="25"/>
        <v>0</v>
      </c>
      <c r="S87" s="147">
        <f t="shared" si="27"/>
        <v>0</v>
      </c>
      <c r="T87" s="147"/>
      <c r="U87" s="143"/>
    </row>
    <row r="88" spans="1:21" s="144" customFormat="1">
      <c r="A88" s="145" t="s">
        <v>771</v>
      </c>
      <c r="B88" s="146">
        <f t="shared" si="24"/>
        <v>300000</v>
      </c>
      <c r="C88" s="147">
        <v>300000</v>
      </c>
      <c r="D88" s="147"/>
      <c r="E88" s="147">
        <f t="shared" si="26"/>
        <v>300000</v>
      </c>
      <c r="F88" s="147"/>
      <c r="G88" s="147"/>
      <c r="H88" s="147"/>
      <c r="I88" s="147"/>
      <c r="J88" s="147"/>
      <c r="K88" s="147"/>
      <c r="L88" s="147"/>
      <c r="M88" s="147"/>
      <c r="N88" s="147"/>
      <c r="O88" s="147"/>
      <c r="P88" s="147"/>
      <c r="Q88" s="147"/>
      <c r="R88" s="516">
        <f t="shared" si="25"/>
        <v>300000</v>
      </c>
      <c r="S88" s="148"/>
      <c r="T88" s="148"/>
      <c r="U88" s="143"/>
    </row>
    <row r="89" spans="1:21" s="144" customFormat="1">
      <c r="A89" s="145" t="s">
        <v>772</v>
      </c>
      <c r="B89" s="146">
        <f t="shared" si="24"/>
        <v>150000</v>
      </c>
      <c r="C89" s="147">
        <v>150000</v>
      </c>
      <c r="D89" s="147"/>
      <c r="E89" s="147">
        <f t="shared" si="26"/>
        <v>150000</v>
      </c>
      <c r="F89" s="147"/>
      <c r="G89" s="147"/>
      <c r="H89" s="147"/>
      <c r="I89" s="147"/>
      <c r="J89" s="147"/>
      <c r="K89" s="147"/>
      <c r="L89" s="147"/>
      <c r="M89" s="147"/>
      <c r="N89" s="147"/>
      <c r="O89" s="147"/>
      <c r="P89" s="147"/>
      <c r="Q89" s="147"/>
      <c r="R89" s="516">
        <f t="shared" si="25"/>
        <v>150000</v>
      </c>
      <c r="S89" s="147">
        <f>R89</f>
        <v>150000</v>
      </c>
      <c r="T89" s="147"/>
      <c r="U89" s="143"/>
    </row>
    <row r="90" spans="1:21" s="144" customFormat="1">
      <c r="A90" s="145" t="s">
        <v>773</v>
      </c>
      <c r="B90" s="146">
        <f t="shared" si="24"/>
        <v>15000</v>
      </c>
      <c r="C90" s="147">
        <v>15000</v>
      </c>
      <c r="D90" s="147"/>
      <c r="E90" s="147">
        <f t="shared" si="26"/>
        <v>15000</v>
      </c>
      <c r="F90" s="147"/>
      <c r="G90" s="147"/>
      <c r="H90" s="147"/>
      <c r="I90" s="147"/>
      <c r="J90" s="147"/>
      <c r="K90" s="147"/>
      <c r="L90" s="147"/>
      <c r="M90" s="147"/>
      <c r="N90" s="147"/>
      <c r="O90" s="147"/>
      <c r="P90" s="147"/>
      <c r="Q90" s="147"/>
      <c r="R90" s="516">
        <f t="shared" si="25"/>
        <v>15000</v>
      </c>
      <c r="S90" s="147">
        <f t="shared" ref="S90:S93" si="28">R90</f>
        <v>15000</v>
      </c>
      <c r="T90" s="147"/>
      <c r="U90" s="143"/>
    </row>
    <row r="91" spans="1:21" s="144" customFormat="1">
      <c r="A91" s="145" t="s">
        <v>372</v>
      </c>
      <c r="B91" s="146">
        <f t="shared" si="24"/>
        <v>50000</v>
      </c>
      <c r="C91" s="147">
        <v>50000</v>
      </c>
      <c r="D91" s="147"/>
      <c r="E91" s="147">
        <f t="shared" si="26"/>
        <v>50000</v>
      </c>
      <c r="F91" s="147"/>
      <c r="G91" s="147"/>
      <c r="H91" s="147"/>
      <c r="I91" s="147"/>
      <c r="J91" s="147"/>
      <c r="K91" s="147"/>
      <c r="L91" s="147"/>
      <c r="M91" s="147"/>
      <c r="N91" s="147"/>
      <c r="O91" s="147"/>
      <c r="P91" s="147"/>
      <c r="Q91" s="147"/>
      <c r="R91" s="516">
        <f t="shared" si="25"/>
        <v>50000</v>
      </c>
      <c r="S91" s="147">
        <f>R91</f>
        <v>50000</v>
      </c>
      <c r="T91" s="147"/>
      <c r="U91" s="143"/>
    </row>
    <row r="92" spans="1:21" s="144" customFormat="1">
      <c r="A92" s="283" t="s">
        <v>1211</v>
      </c>
      <c r="B92" s="146">
        <f t="shared" si="24"/>
        <v>20000</v>
      </c>
      <c r="C92" s="147">
        <v>20000</v>
      </c>
      <c r="D92" s="147"/>
      <c r="E92" s="147">
        <f t="shared" si="26"/>
        <v>20000</v>
      </c>
      <c r="F92" s="147"/>
      <c r="G92" s="147"/>
      <c r="H92" s="147"/>
      <c r="I92" s="147"/>
      <c r="J92" s="147"/>
      <c r="K92" s="147"/>
      <c r="L92" s="147"/>
      <c r="M92" s="147"/>
      <c r="N92" s="147"/>
      <c r="O92" s="147"/>
      <c r="P92" s="147"/>
      <c r="Q92" s="147"/>
      <c r="R92" s="516">
        <f t="shared" si="25"/>
        <v>20000</v>
      </c>
      <c r="S92" s="147">
        <f t="shared" si="28"/>
        <v>20000</v>
      </c>
      <c r="T92" s="147"/>
      <c r="U92" s="143"/>
    </row>
    <row r="93" spans="1:21" s="144" customFormat="1" ht="24">
      <c r="A93" s="1149" t="s">
        <v>2755</v>
      </c>
      <c r="B93" s="146">
        <f t="shared" si="24"/>
        <v>242000</v>
      </c>
      <c r="C93" s="147">
        <f>42000+200000</f>
        <v>242000</v>
      </c>
      <c r="D93" s="147"/>
      <c r="E93" s="147">
        <f t="shared" si="26"/>
        <v>242000</v>
      </c>
      <c r="F93" s="147"/>
      <c r="G93" s="147"/>
      <c r="H93" s="147"/>
      <c r="I93" s="147"/>
      <c r="J93" s="147"/>
      <c r="K93" s="147"/>
      <c r="L93" s="147"/>
      <c r="M93" s="147"/>
      <c r="N93" s="147"/>
      <c r="O93" s="147"/>
      <c r="P93" s="147"/>
      <c r="Q93" s="147"/>
      <c r="R93" s="516">
        <f t="shared" si="25"/>
        <v>242000</v>
      </c>
      <c r="S93" s="147">
        <f t="shared" si="28"/>
        <v>242000</v>
      </c>
      <c r="T93" s="147"/>
      <c r="U93" s="143"/>
    </row>
    <row r="94" spans="1:21" s="144" customFormat="1">
      <c r="A94" s="1149" t="s">
        <v>2749</v>
      </c>
      <c r="B94" s="146">
        <f t="shared" si="24"/>
        <v>47000</v>
      </c>
      <c r="C94" s="147">
        <v>47000</v>
      </c>
      <c r="D94" s="147"/>
      <c r="E94" s="147">
        <f t="shared" si="26"/>
        <v>47000</v>
      </c>
      <c r="F94" s="147"/>
      <c r="G94" s="147"/>
      <c r="H94" s="147"/>
      <c r="I94" s="147"/>
      <c r="J94" s="147"/>
      <c r="K94" s="147"/>
      <c r="L94" s="147"/>
      <c r="M94" s="147"/>
      <c r="N94" s="147"/>
      <c r="O94" s="147"/>
      <c r="P94" s="147"/>
      <c r="Q94" s="147"/>
      <c r="R94" s="516">
        <f t="shared" si="25"/>
        <v>47000</v>
      </c>
      <c r="S94" s="147"/>
      <c r="T94" s="147"/>
      <c r="U94" s="143"/>
    </row>
    <row r="95" spans="1:21" s="144" customFormat="1" ht="24">
      <c r="A95" s="1149" t="s">
        <v>2750</v>
      </c>
      <c r="B95" s="146">
        <f t="shared" si="24"/>
        <v>305600</v>
      </c>
      <c r="C95" s="147">
        <f>50000+5600+250000</f>
        <v>305600</v>
      </c>
      <c r="D95" s="147"/>
      <c r="E95" s="147">
        <f t="shared" si="26"/>
        <v>305600</v>
      </c>
      <c r="F95" s="147"/>
      <c r="G95" s="147"/>
      <c r="H95" s="147"/>
      <c r="I95" s="147"/>
      <c r="J95" s="147"/>
      <c r="K95" s="147"/>
      <c r="L95" s="147"/>
      <c r="M95" s="147"/>
      <c r="N95" s="147"/>
      <c r="O95" s="147"/>
      <c r="P95" s="147"/>
      <c r="Q95" s="147"/>
      <c r="R95" s="516">
        <f t="shared" si="25"/>
        <v>305600</v>
      </c>
      <c r="S95" s="147">
        <v>255600</v>
      </c>
      <c r="T95" s="147"/>
      <c r="U95" s="143"/>
    </row>
    <row r="96" spans="1:21" s="144" customFormat="1">
      <c r="A96" s="149" t="s">
        <v>774</v>
      </c>
      <c r="B96" s="146">
        <f>SUM(C96:D96)</f>
        <v>3527396</v>
      </c>
      <c r="C96" s="146">
        <f t="shared" ref="C96:R96" si="29">SUM(C83:C95)</f>
        <v>3527396</v>
      </c>
      <c r="D96" s="146">
        <f t="shared" si="29"/>
        <v>0</v>
      </c>
      <c r="E96" s="146">
        <f t="shared" si="29"/>
        <v>3527396</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3527396</v>
      </c>
      <c r="S96" s="150">
        <f>SUM(S84:S87,S89:S95)</f>
        <v>3057600</v>
      </c>
      <c r="T96" s="146">
        <f>SUM(T84:T87,T89:T95)</f>
        <v>0</v>
      </c>
      <c r="U96" s="143"/>
    </row>
    <row r="97" spans="1:21" s="144" customFormat="1">
      <c r="A97" s="149" t="s">
        <v>775</v>
      </c>
      <c r="B97" s="146">
        <f>SUM(C97:D97)</f>
        <v>50722067</v>
      </c>
      <c r="C97" s="146">
        <f t="shared" ref="C97:R97" si="30">SUM(C63+C70+C77+C81+C96)</f>
        <v>50722067</v>
      </c>
      <c r="D97" s="146">
        <f t="shared" si="30"/>
        <v>0</v>
      </c>
      <c r="E97" s="146">
        <f t="shared" si="30"/>
        <v>23568116</v>
      </c>
      <c r="F97" s="146">
        <f t="shared" si="30"/>
        <v>3750688</v>
      </c>
      <c r="G97" s="146">
        <f t="shared" si="30"/>
        <v>0</v>
      </c>
      <c r="H97" s="146">
        <f t="shared" si="30"/>
        <v>3000000</v>
      </c>
      <c r="I97" s="146">
        <f t="shared" si="30"/>
        <v>4000000</v>
      </c>
      <c r="J97" s="146">
        <f t="shared" si="30"/>
        <v>4403263</v>
      </c>
      <c r="K97" s="146">
        <f t="shared" si="30"/>
        <v>11000000</v>
      </c>
      <c r="L97" s="146">
        <f t="shared" si="30"/>
        <v>1000000</v>
      </c>
      <c r="M97" s="146">
        <f t="shared" si="30"/>
        <v>0</v>
      </c>
      <c r="N97" s="146">
        <f t="shared" si="30"/>
        <v>0</v>
      </c>
      <c r="O97" s="146">
        <f t="shared" si="30"/>
        <v>0</v>
      </c>
      <c r="P97" s="146">
        <f t="shared" si="30"/>
        <v>0</v>
      </c>
      <c r="Q97" s="146">
        <f t="shared" si="30"/>
        <v>0</v>
      </c>
      <c r="R97" s="146">
        <f t="shared" si="30"/>
        <v>50722067</v>
      </c>
      <c r="S97" s="146">
        <f>SUM(S63+S70+S81+S96)</f>
        <v>43438338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6515750</v>
      </c>
      <c r="C99" s="979">
        <v>6515750</v>
      </c>
      <c r="D99" s="979"/>
      <c r="E99" s="979">
        <f>C99-G99</f>
        <v>2610707</v>
      </c>
      <c r="F99" s="147"/>
      <c r="G99" s="147">
        <v>3905043</v>
      </c>
      <c r="H99" s="147"/>
      <c r="I99" s="147"/>
      <c r="J99" s="147"/>
      <c r="K99" s="147"/>
      <c r="L99" s="147"/>
      <c r="M99" s="147"/>
      <c r="N99" s="147"/>
      <c r="O99" s="147"/>
      <c r="P99" s="147"/>
      <c r="Q99" s="147"/>
      <c r="R99" s="516">
        <f>SUM(E99:Q99)</f>
        <v>6515750</v>
      </c>
      <c r="S99" s="147">
        <f>R99</f>
        <v>6515750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6515750</v>
      </c>
      <c r="C104" s="146">
        <f>SUM(C99:C103)</f>
        <v>6515750</v>
      </c>
      <c r="D104" s="146">
        <f t="shared" ref="D104:T104" si="31">SUM(D99:D103)</f>
        <v>0</v>
      </c>
      <c r="E104" s="146">
        <f t="shared" si="31"/>
        <v>2610707</v>
      </c>
      <c r="F104" s="146">
        <f t="shared" si="31"/>
        <v>0</v>
      </c>
      <c r="G104" s="146">
        <f t="shared" si="31"/>
        <v>3905043</v>
      </c>
      <c r="H104" s="146">
        <f t="shared" si="31"/>
        <v>0</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42">
        <f t="shared" si="31"/>
        <v>6515750</v>
      </c>
      <c r="S104" s="150">
        <f t="shared" si="31"/>
        <v>6515750</v>
      </c>
      <c r="T104" s="150">
        <f t="shared" si="31"/>
        <v>0</v>
      </c>
      <c r="U104" s="143"/>
    </row>
    <row r="105" spans="1:21" s="144" customFormat="1">
      <c r="A105" s="149" t="s">
        <v>780</v>
      </c>
      <c r="B105" s="150">
        <f>SUM(C105:D105)</f>
        <v>57237817</v>
      </c>
      <c r="C105" s="150">
        <f t="shared" ref="C105:R105" si="32">SUM(C97+C104)</f>
        <v>57237817</v>
      </c>
      <c r="D105" s="150">
        <f t="shared" si="32"/>
        <v>0</v>
      </c>
      <c r="E105" s="150">
        <f t="shared" si="32"/>
        <v>26178823</v>
      </c>
      <c r="F105" s="150">
        <f t="shared" si="32"/>
        <v>3750688</v>
      </c>
      <c r="G105" s="150">
        <f t="shared" si="32"/>
        <v>3905043</v>
      </c>
      <c r="H105" s="150">
        <f t="shared" si="32"/>
        <v>3000000</v>
      </c>
      <c r="I105" s="150">
        <f t="shared" si="32"/>
        <v>4000000</v>
      </c>
      <c r="J105" s="150">
        <f t="shared" si="32"/>
        <v>4403263</v>
      </c>
      <c r="K105" s="150">
        <f t="shared" si="32"/>
        <v>11000000</v>
      </c>
      <c r="L105" s="150">
        <f t="shared" si="32"/>
        <v>1000000</v>
      </c>
      <c r="M105" s="150">
        <f t="shared" si="32"/>
        <v>0</v>
      </c>
      <c r="N105" s="150">
        <f t="shared" si="32"/>
        <v>0</v>
      </c>
      <c r="O105" s="150">
        <f t="shared" si="32"/>
        <v>0</v>
      </c>
      <c r="P105" s="150">
        <f t="shared" si="32"/>
        <v>0</v>
      </c>
      <c r="Q105" s="150">
        <f t="shared" si="32"/>
        <v>0</v>
      </c>
      <c r="R105" s="342">
        <f t="shared" si="32"/>
        <v>57237817</v>
      </c>
      <c r="S105" s="150">
        <f>S97+S104</f>
        <v>49954088</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49954088</v>
      </c>
      <c r="T107" s="150">
        <f>T105+T106</f>
        <v>0</v>
      </c>
    </row>
    <row r="108" spans="1:21" s="189" customFormat="1">
      <c r="A108" s="162" t="s">
        <v>879</v>
      </c>
      <c r="B108" s="157"/>
      <c r="C108" s="157"/>
      <c r="D108" s="157"/>
      <c r="E108" s="301">
        <f>Application!AO640</f>
        <v>26178823</v>
      </c>
      <c r="F108" s="301">
        <f>Application!AO627</f>
        <v>3750688</v>
      </c>
      <c r="G108" s="301">
        <f>Application!AO628</f>
        <v>3905043</v>
      </c>
      <c r="H108" s="301">
        <f>Application!AO629</f>
        <v>3000000</v>
      </c>
      <c r="I108" s="301">
        <f>Application!AO630</f>
        <v>4000000</v>
      </c>
      <c r="J108" s="301">
        <f>Application!AO631</f>
        <v>4403263</v>
      </c>
      <c r="K108" s="301">
        <f>Application!AO632</f>
        <v>11000000</v>
      </c>
      <c r="L108" s="301">
        <f>Application!AO633</f>
        <v>1000000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1" t="s">
        <v>1224</v>
      </c>
      <c r="E123" s="1552"/>
      <c r="F123" s="1552"/>
      <c r="G123" s="1552"/>
      <c r="H123" s="1552"/>
      <c r="I123" s="1552"/>
      <c r="J123" s="1552"/>
      <c r="K123" s="1552"/>
      <c r="L123" s="1552"/>
      <c r="M123" s="1552"/>
      <c r="N123" s="1552"/>
      <c r="O123" s="1552"/>
      <c r="P123" s="1552"/>
      <c r="Q123" s="1552"/>
      <c r="R123" s="1552"/>
      <c r="S123" s="1552"/>
      <c r="T123" s="324"/>
      <c r="U123" s="326"/>
    </row>
    <row r="124" spans="1:21" ht="12.75">
      <c r="A124" s="117" t="s">
        <v>992</v>
      </c>
      <c r="B124" s="333"/>
      <c r="C124" s="117"/>
      <c r="D124" s="1552"/>
      <c r="E124" s="1552"/>
      <c r="F124" s="1552"/>
      <c r="G124" s="1552"/>
      <c r="H124" s="1552"/>
      <c r="I124" s="1552"/>
      <c r="J124" s="1552"/>
      <c r="K124" s="1552"/>
      <c r="L124" s="1552"/>
      <c r="M124" s="1552"/>
      <c r="N124" s="1552"/>
      <c r="O124" s="1552"/>
      <c r="P124" s="1552"/>
      <c r="Q124" s="1552"/>
      <c r="R124" s="1552"/>
      <c r="S124" s="1552"/>
      <c r="T124" s="324"/>
      <c r="U124" s="326"/>
    </row>
    <row r="125" spans="1:21" ht="12.75">
      <c r="A125" s="117" t="s">
        <v>993</v>
      </c>
      <c r="B125" s="333"/>
      <c r="C125" s="117"/>
      <c r="D125" s="1552"/>
      <c r="E125" s="1552"/>
      <c r="F125" s="1552"/>
      <c r="G125" s="1552"/>
      <c r="H125" s="1552"/>
      <c r="I125" s="1552"/>
      <c r="J125" s="1552"/>
      <c r="K125" s="1552"/>
      <c r="L125" s="1552"/>
      <c r="M125" s="1552"/>
      <c r="N125" s="1552"/>
      <c r="O125" s="1552"/>
      <c r="P125" s="1552"/>
      <c r="Q125" s="1552"/>
      <c r="R125" s="1552"/>
      <c r="S125" s="1552"/>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75">
      <c r="A129" s="117" t="s">
        <v>300</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2" t="s">
        <v>1000</v>
      </c>
      <c r="E132" s="1862"/>
      <c r="F132" s="1862"/>
      <c r="G132" s="1862"/>
      <c r="H132" s="1862"/>
      <c r="I132" s="117"/>
      <c r="J132" s="1862" t="s">
        <v>1001</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2.75">
      <c r="A139" s="1859" t="s">
        <v>1004</v>
      </c>
      <c r="B139" s="1859"/>
      <c r="C139" s="185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F122" sqref="F122"/>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4550000</v>
      </c>
      <c r="C4" s="362">
        <f>B4</f>
        <v>4550000</v>
      </c>
      <c r="D4" s="362"/>
      <c r="E4" s="363"/>
      <c r="F4" s="363"/>
      <c r="G4" s="363"/>
      <c r="H4" s="363"/>
      <c r="I4" s="363"/>
      <c r="J4" s="363"/>
      <c r="K4" s="359"/>
    </row>
    <row r="5" spans="1:11" s="360" customFormat="1">
      <c r="A5" s="364" t="s">
        <v>28</v>
      </c>
      <c r="B5" s="361">
        <f>'Sources and Uses Budget'!C5</f>
        <v>100000</v>
      </c>
      <c r="C5" s="362">
        <f>B5</f>
        <v>100000</v>
      </c>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4650000</v>
      </c>
      <c r="C8" s="361">
        <f>SUM(C4:C7)</f>
        <v>4650000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5150000</v>
      </c>
      <c r="C12" s="361">
        <f>SUM(C8+C11)</f>
        <v>5150000</v>
      </c>
      <c r="D12" s="361">
        <f>SUM(D8+D11)</f>
        <v>0</v>
      </c>
      <c r="E12" s="363"/>
      <c r="F12" s="363"/>
      <c r="G12" s="363"/>
      <c r="H12" s="363"/>
      <c r="I12" s="363"/>
      <c r="J12" s="363"/>
      <c r="K12" s="359"/>
    </row>
    <row r="13" spans="1:11" s="360" customFormat="1">
      <c r="A13" s="366" t="s">
        <v>902</v>
      </c>
      <c r="B13" s="361">
        <f>'Sources and Uses Budget'!C13</f>
        <v>0</v>
      </c>
      <c r="C13" s="362">
        <f>B13</f>
        <v>0</v>
      </c>
      <c r="D13" s="362"/>
      <c r="E13" s="361">
        <f>'Sources and Uses Budget'!S13</f>
        <v>0</v>
      </c>
      <c r="F13" s="362">
        <f>E13</f>
        <v>0</v>
      </c>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c r="A30" s="145" t="s">
        <v>599</v>
      </c>
      <c r="B30" s="361">
        <f>'Sources and Uses Budget'!C30</f>
        <v>22980054</v>
      </c>
      <c r="C30" s="362">
        <f t="shared" ref="C30:C37" si="0">B30</f>
        <v>22980054</v>
      </c>
      <c r="D30" s="362"/>
      <c r="E30" s="361">
        <f>'Sources and Uses Budget'!S30</f>
        <v>22980054</v>
      </c>
      <c r="F30" s="362">
        <f t="shared" ref="F30:F37" si="1">E30</f>
        <v>22980054</v>
      </c>
      <c r="G30" s="362"/>
      <c r="H30" s="361">
        <f>'Sources and Uses Budget'!T30</f>
        <v>0</v>
      </c>
      <c r="I30" s="362"/>
      <c r="J30" s="362"/>
      <c r="K30" s="359"/>
    </row>
    <row r="31" spans="1:11" s="360" customFormat="1">
      <c r="A31" s="145" t="s">
        <v>600</v>
      </c>
      <c r="B31" s="361">
        <f>'Sources and Uses Budget'!C31</f>
        <v>1762564</v>
      </c>
      <c r="C31" s="362">
        <f t="shared" si="0"/>
        <v>1762564</v>
      </c>
      <c r="D31" s="362"/>
      <c r="E31" s="361">
        <f>'Sources and Uses Budget'!S31</f>
        <v>1762564</v>
      </c>
      <c r="F31" s="362">
        <f t="shared" si="1"/>
        <v>1762564</v>
      </c>
      <c r="G31" s="362"/>
      <c r="H31" s="361">
        <f>'Sources and Uses Budget'!T31</f>
        <v>0</v>
      </c>
      <c r="I31" s="362"/>
      <c r="J31" s="362"/>
      <c r="K31" s="359"/>
    </row>
    <row r="32" spans="1:11" s="360" customFormat="1">
      <c r="A32" s="145" t="s">
        <v>137</v>
      </c>
      <c r="B32" s="361">
        <f>'Sources and Uses Budget'!C32</f>
        <v>1175043</v>
      </c>
      <c r="C32" s="362">
        <f t="shared" si="0"/>
        <v>1175043</v>
      </c>
      <c r="D32" s="362"/>
      <c r="E32" s="361">
        <f>'Sources and Uses Budget'!S32</f>
        <v>1175043</v>
      </c>
      <c r="F32" s="362">
        <f t="shared" si="1"/>
        <v>1175043</v>
      </c>
      <c r="G32" s="362"/>
      <c r="H32" s="361">
        <f>'Sources and Uses Budget'!T32</f>
        <v>0</v>
      </c>
      <c r="I32" s="362"/>
      <c r="J32" s="362"/>
      <c r="K32" s="359"/>
    </row>
    <row r="33" spans="1:11" s="360" customFormat="1">
      <c r="A33" s="145" t="s">
        <v>138</v>
      </c>
      <c r="B33" s="361">
        <f>'Sources and Uses Budget'!C33</f>
        <v>1175043</v>
      </c>
      <c r="C33" s="362">
        <f t="shared" si="0"/>
        <v>1175043</v>
      </c>
      <c r="D33" s="362"/>
      <c r="E33" s="361">
        <f>'Sources and Uses Budget'!S33</f>
        <v>1175043</v>
      </c>
      <c r="F33" s="362">
        <f t="shared" si="1"/>
        <v>1175043</v>
      </c>
      <c r="G33" s="362"/>
      <c r="H33" s="361">
        <f>'Sources and Uses Budget'!T33</f>
        <v>0</v>
      </c>
      <c r="I33" s="362"/>
      <c r="J33" s="362"/>
      <c r="K33" s="359"/>
    </row>
    <row r="34" spans="1:11" s="360" customFormat="1">
      <c r="A34" s="145" t="s">
        <v>139</v>
      </c>
      <c r="B34" s="361">
        <f>'Sources and Uses Budget'!C34</f>
        <v>4896011</v>
      </c>
      <c r="C34" s="362">
        <f t="shared" si="0"/>
        <v>4896011</v>
      </c>
      <c r="D34" s="362"/>
      <c r="E34" s="361">
        <f>'Sources and Uses Budget'!S34</f>
        <v>4896011</v>
      </c>
      <c r="F34" s="362">
        <f t="shared" si="1"/>
        <v>4896011</v>
      </c>
      <c r="G34" s="362"/>
      <c r="H34" s="361">
        <f>'Sources and Uses Budget'!T34</f>
        <v>0</v>
      </c>
      <c r="I34" s="362"/>
      <c r="J34" s="362"/>
      <c r="K34" s="359"/>
    </row>
    <row r="35" spans="1:11" s="360" customFormat="1">
      <c r="A35" s="145" t="s">
        <v>140</v>
      </c>
      <c r="B35" s="361">
        <f>'Sources and Uses Budget'!C35</f>
        <v>334887</v>
      </c>
      <c r="C35" s="362">
        <f t="shared" si="0"/>
        <v>334887</v>
      </c>
      <c r="D35" s="362"/>
      <c r="E35" s="361">
        <f>'Sources and Uses Budget'!S35</f>
        <v>334887</v>
      </c>
      <c r="F35" s="362">
        <f t="shared" si="1"/>
        <v>334887</v>
      </c>
      <c r="G35" s="362"/>
      <c r="H35" s="361">
        <f>'Sources and Uses Budget'!T35</f>
        <v>0</v>
      </c>
      <c r="I35" s="362"/>
      <c r="J35" s="362"/>
      <c r="K35" s="359"/>
    </row>
    <row r="36" spans="1:11" s="360" customFormat="1">
      <c r="A36" s="508" t="s">
        <v>1640</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33323602</v>
      </c>
      <c r="C38" s="361">
        <f>SUM(C29:C37)</f>
        <v>33323602</v>
      </c>
      <c r="D38" s="361">
        <f>SUM(D29:D37)</f>
        <v>0</v>
      </c>
      <c r="E38" s="361">
        <f>'Sources and Uses Budget'!S38</f>
        <v>33323602</v>
      </c>
      <c r="F38" s="367">
        <f>SUM(F29:F37)</f>
        <v>33323602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1020000</v>
      </c>
      <c r="C40" s="362">
        <f>B40</f>
        <v>1020000</v>
      </c>
      <c r="D40" s="362"/>
      <c r="E40" s="361">
        <f>'Sources and Uses Budget'!S40</f>
        <v>1020000</v>
      </c>
      <c r="F40" s="362">
        <f>E40</f>
        <v>1020000</v>
      </c>
      <c r="G40" s="362"/>
      <c r="H40" s="361">
        <f>'Sources and Uses Budget'!T40</f>
        <v>0</v>
      </c>
      <c r="I40" s="362"/>
      <c r="J40" s="362"/>
      <c r="K40" s="359"/>
    </row>
    <row r="41" spans="1:11" s="360" customFormat="1">
      <c r="A41" s="364" t="s">
        <v>146</v>
      </c>
      <c r="B41" s="361">
        <f>'Sources and Uses Budget'!C41</f>
        <v>0</v>
      </c>
      <c r="C41" s="362">
        <f t="shared" ref="C41" si="2">B41</f>
        <v>0</v>
      </c>
      <c r="D41" s="362"/>
      <c r="E41" s="361">
        <f>'Sources and Uses Budget'!S41</f>
        <v>0</v>
      </c>
      <c r="F41" s="362">
        <f t="shared" ref="F41" si="3">E41</f>
        <v>0</v>
      </c>
      <c r="G41" s="362"/>
      <c r="H41" s="361">
        <f>'Sources and Uses Budget'!T41</f>
        <v>0</v>
      </c>
      <c r="I41" s="362"/>
      <c r="J41" s="362"/>
      <c r="K41" s="359"/>
    </row>
    <row r="42" spans="1:11" s="360" customFormat="1">
      <c r="A42" s="365" t="s">
        <v>147</v>
      </c>
      <c r="B42" s="361">
        <f>'Sources and Uses Budget'!C42</f>
        <v>1020000</v>
      </c>
      <c r="C42" s="361">
        <f>SUM(C39:C41)</f>
        <v>1020000</v>
      </c>
      <c r="D42" s="361">
        <f>SUM(D39:D41)</f>
        <v>0</v>
      </c>
      <c r="E42" s="361">
        <f>'Sources and Uses Budget'!S42</f>
        <v>1020000</v>
      </c>
      <c r="F42" s="367">
        <f>SUM(F40:F41)</f>
        <v>1020000</v>
      </c>
      <c r="G42" s="367">
        <f>SUM(G40:G41)</f>
        <v>0</v>
      </c>
      <c r="H42" s="361">
        <f>'Sources and Uses Budget'!T42</f>
        <v>0</v>
      </c>
      <c r="I42" s="367">
        <f>SUM(I40:I41)</f>
        <v>0</v>
      </c>
      <c r="J42" s="367">
        <f>SUM(J40:J41)</f>
        <v>0</v>
      </c>
      <c r="K42" s="359"/>
    </row>
    <row r="43" spans="1:11" s="360" customFormat="1">
      <c r="A43" s="365" t="s">
        <v>148</v>
      </c>
      <c r="B43" s="361">
        <f>'Sources and Uses Budget'!C43</f>
        <v>650000</v>
      </c>
      <c r="C43" s="362">
        <f>B43</f>
        <v>650000</v>
      </c>
      <c r="D43" s="362"/>
      <c r="E43" s="361">
        <f>'Sources and Uses Budget'!S43</f>
        <v>650000</v>
      </c>
      <c r="F43" s="362">
        <f>E43</f>
        <v>650000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2541153</v>
      </c>
      <c r="C45" s="362">
        <f>B45</f>
        <v>2541153</v>
      </c>
      <c r="D45" s="362"/>
      <c r="E45" s="361">
        <f>'Sources and Uses Budget'!S45</f>
        <v>1225628</v>
      </c>
      <c r="F45" s="362">
        <f>E45</f>
        <v>1225628</v>
      </c>
      <c r="G45" s="362"/>
      <c r="H45" s="361">
        <f>'Sources and Uses Budget'!T45</f>
        <v>0</v>
      </c>
      <c r="I45" s="362"/>
      <c r="J45" s="362"/>
      <c r="K45" s="359"/>
    </row>
    <row r="46" spans="1:11" s="360" customFormat="1">
      <c r="A46" s="364" t="s">
        <v>151</v>
      </c>
      <c r="B46" s="361">
        <f>'Sources and Uses Budget'!C46</f>
        <v>180573</v>
      </c>
      <c r="C46" s="362">
        <f t="shared" ref="C46:C53" si="4">B46</f>
        <v>180573</v>
      </c>
      <c r="D46" s="362"/>
      <c r="E46" s="361">
        <f>'Sources and Uses Budget'!S46</f>
        <v>135430</v>
      </c>
      <c r="F46" s="362">
        <f t="shared" ref="F46:F53" si="5">E46</f>
        <v>135430</v>
      </c>
      <c r="G46" s="362"/>
      <c r="H46" s="361">
        <f>'Sources and Uses Budget'!T46</f>
        <v>0</v>
      </c>
      <c r="I46" s="362"/>
      <c r="J46" s="362"/>
      <c r="K46" s="359"/>
    </row>
    <row r="47" spans="1:11" s="360" customFormat="1" ht="12" customHeight="1">
      <c r="A47" s="364" t="s">
        <v>152</v>
      </c>
      <c r="B47" s="361">
        <f>'Sources and Uses Budget'!C47</f>
        <v>15000</v>
      </c>
      <c r="C47" s="362">
        <f t="shared" si="4"/>
        <v>15000</v>
      </c>
      <c r="D47" s="362"/>
      <c r="E47" s="361">
        <f>'Sources and Uses Budget'!S47</f>
        <v>11250</v>
      </c>
      <c r="F47" s="362">
        <f t="shared" si="5"/>
        <v>11250</v>
      </c>
      <c r="G47" s="362"/>
      <c r="H47" s="361">
        <f>'Sources and Uses Budget'!T47</f>
        <v>0</v>
      </c>
      <c r="I47" s="362"/>
      <c r="J47" s="362"/>
      <c r="K47" s="359"/>
    </row>
    <row r="48" spans="1:11" s="360" customFormat="1">
      <c r="A48" s="364" t="s">
        <v>153</v>
      </c>
      <c r="B48" s="361">
        <f>'Sources and Uses Budget'!C48</f>
        <v>301398</v>
      </c>
      <c r="C48" s="362">
        <f t="shared" si="4"/>
        <v>301398</v>
      </c>
      <c r="D48" s="362"/>
      <c r="E48" s="361">
        <f>'Sources and Uses Budget'!S48</f>
        <v>301398</v>
      </c>
      <c r="F48" s="362">
        <f t="shared" si="5"/>
        <v>301398</v>
      </c>
      <c r="G48" s="362"/>
      <c r="H48" s="361">
        <f>'Sources and Uses Budget'!T48</f>
        <v>0</v>
      </c>
      <c r="I48" s="362"/>
      <c r="J48" s="362"/>
      <c r="K48" s="359"/>
    </row>
    <row r="49" spans="1:11" s="360" customFormat="1">
      <c r="A49" s="283" t="s">
        <v>57</v>
      </c>
      <c r="B49" s="361">
        <f>'Sources and Uses Budget'!C49</f>
        <v>45143</v>
      </c>
      <c r="C49" s="362">
        <f t="shared" si="4"/>
        <v>45143</v>
      </c>
      <c r="D49" s="362"/>
      <c r="E49" s="361">
        <f>'Sources and Uses Budget'!S49</f>
        <v>45143</v>
      </c>
      <c r="F49" s="362">
        <f t="shared" si="5"/>
        <v>45143</v>
      </c>
      <c r="G49" s="362"/>
      <c r="H49" s="361">
        <f>'Sources and Uses Budget'!T49</f>
        <v>0</v>
      </c>
      <c r="I49" s="362"/>
      <c r="J49" s="362"/>
      <c r="K49" s="359"/>
    </row>
    <row r="50" spans="1:11" s="360" customFormat="1">
      <c r="A50" s="364" t="s">
        <v>156</v>
      </c>
      <c r="B50" s="361">
        <f>'Sources and Uses Budget'!C50</f>
        <v>100000</v>
      </c>
      <c r="C50" s="362">
        <f t="shared" si="4"/>
        <v>100000</v>
      </c>
      <c r="D50" s="362"/>
      <c r="E50" s="361">
        <f>'Sources and Uses Budget'!S50</f>
        <v>75000</v>
      </c>
      <c r="F50" s="362">
        <f t="shared" si="5"/>
        <v>75000</v>
      </c>
      <c r="G50" s="362"/>
      <c r="H50" s="361">
        <f>'Sources and Uses Budget'!T50</f>
        <v>0</v>
      </c>
      <c r="I50" s="362"/>
      <c r="J50" s="362"/>
      <c r="K50" s="359"/>
    </row>
    <row r="51" spans="1:11" s="360" customFormat="1">
      <c r="A51" s="364" t="s">
        <v>154</v>
      </c>
      <c r="B51" s="361">
        <f>'Sources and Uses Budget'!C51</f>
        <v>105000</v>
      </c>
      <c r="C51" s="362">
        <f t="shared" si="4"/>
        <v>105000</v>
      </c>
      <c r="D51" s="362"/>
      <c r="E51" s="361">
        <f>'Sources and Uses Budget'!S51</f>
        <v>105000</v>
      </c>
      <c r="F51" s="362">
        <f t="shared" si="5"/>
        <v>105000</v>
      </c>
      <c r="G51" s="362"/>
      <c r="H51" s="361">
        <f>'Sources and Uses Budget'!T51</f>
        <v>0</v>
      </c>
      <c r="I51" s="362"/>
      <c r="J51" s="362"/>
      <c r="K51" s="359"/>
    </row>
    <row r="52" spans="1:11" s="360" customFormat="1">
      <c r="A52" s="364" t="s">
        <v>155</v>
      </c>
      <c r="B52" s="361">
        <f>'Sources and Uses Budget'!C52</f>
        <v>512000</v>
      </c>
      <c r="C52" s="362">
        <f t="shared" si="4"/>
        <v>512000</v>
      </c>
      <c r="D52" s="362"/>
      <c r="E52" s="361">
        <f>'Sources and Uses Budget'!S52</f>
        <v>512000</v>
      </c>
      <c r="F52" s="362">
        <f t="shared" si="5"/>
        <v>512000</v>
      </c>
      <c r="G52" s="362"/>
      <c r="H52" s="361">
        <f>'Sources and Uses Budget'!T52</f>
        <v>0</v>
      </c>
      <c r="I52" s="362"/>
      <c r="J52" s="362"/>
      <c r="K52" s="359"/>
    </row>
    <row r="53" spans="1:11" s="360" customFormat="1" ht="24">
      <c r="A53" s="364" t="str">
        <f>'Sources and Uses Budget'!$A53</f>
        <v>Employment Reporting + SMC 12.5 Origination Fee</v>
      </c>
      <c r="B53" s="361">
        <f>'Sources and Uses Budget'!C53</f>
        <v>145000</v>
      </c>
      <c r="C53" s="362">
        <f t="shared" si="4"/>
        <v>145000</v>
      </c>
      <c r="D53" s="362"/>
      <c r="E53" s="361">
        <f>'Sources and Uses Budget'!S53</f>
        <v>145000</v>
      </c>
      <c r="F53" s="362">
        <f t="shared" si="5"/>
        <v>145000</v>
      </c>
      <c r="G53" s="362"/>
      <c r="H53" s="361">
        <f>'Sources and Uses Budget'!T53</f>
        <v>0</v>
      </c>
      <c r="I53" s="362"/>
      <c r="J53" s="362"/>
      <c r="K53" s="359"/>
    </row>
    <row r="54" spans="1:11" s="369" customFormat="1">
      <c r="A54" s="365" t="s">
        <v>157</v>
      </c>
      <c r="B54" s="361">
        <f>'Sources and Uses Budget'!C54</f>
        <v>3945267</v>
      </c>
      <c r="C54" s="367">
        <f>SUM(C45:C53)</f>
        <v>3945267</v>
      </c>
      <c r="D54" s="367">
        <f>SUM(D45:D53)</f>
        <v>0</v>
      </c>
      <c r="E54" s="361">
        <f>'Sources and Uses Budget'!S54</f>
        <v>2555849</v>
      </c>
      <c r="F54" s="367">
        <f>SUM(F45:F53)</f>
        <v>2555849</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f>B58</f>
        <v>10000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Legal for Perm loan</v>
      </c>
      <c r="B61" s="361">
        <f>'Sources and Uses Budget'!C61</f>
        <v>15000</v>
      </c>
      <c r="C61" s="362">
        <f>B61</f>
        <v>15000</v>
      </c>
      <c r="D61" s="362"/>
      <c r="E61" s="363"/>
      <c r="F61" s="363"/>
      <c r="G61" s="363"/>
      <c r="H61" s="363"/>
      <c r="I61" s="363"/>
      <c r="J61" s="363"/>
      <c r="K61" s="359"/>
    </row>
    <row r="62" spans="1:11" s="360" customFormat="1" ht="13.7" customHeight="1">
      <c r="A62" s="365" t="s">
        <v>301</v>
      </c>
      <c r="B62" s="361">
        <f>'Sources and Uses Budget'!C62</f>
        <v>25000</v>
      </c>
      <c r="C62" s="361">
        <f>SUM(C56:C61)</f>
        <v>25000</v>
      </c>
      <c r="D62" s="361">
        <f>SUM(D56:D61)</f>
        <v>0</v>
      </c>
      <c r="E62" s="363"/>
      <c r="F62" s="363"/>
      <c r="G62" s="363"/>
      <c r="H62" s="363"/>
      <c r="I62" s="363"/>
      <c r="J62" s="363"/>
      <c r="K62" s="359"/>
    </row>
    <row r="63" spans="1:11" s="360" customFormat="1">
      <c r="A63" s="370" t="s">
        <v>302</v>
      </c>
      <c r="B63" s="361">
        <f>'Sources and Uses Budget'!C63</f>
        <v>44113869</v>
      </c>
      <c r="C63" s="361">
        <f>SUM(C8+C11+C13+C14+C15+C26+C27+C38+C42+C43+C54+C62)</f>
        <v>44113869</v>
      </c>
      <c r="D63" s="361">
        <f>SUM(D8+D11+D13+D14+D15+D26+D27+D38+D42+D43+D54+D62)</f>
        <v>0</v>
      </c>
      <c r="E63" s="361">
        <f>'Sources and Uses Budget'!S63</f>
        <v>38049451</v>
      </c>
      <c r="F63" s="361">
        <f>SUM(F10+F13+F14+F15+F26+F27+F38+F42+F43+F54)</f>
        <v>38049451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Legal: Lender+Bond Issuer + MGP</v>
      </c>
      <c r="B69" s="361">
        <f>'Sources and Uses Budget'!C69</f>
        <v>275000</v>
      </c>
      <c r="C69" s="362">
        <f>B69</f>
        <v>275000</v>
      </c>
      <c r="D69" s="362"/>
      <c r="E69" s="361">
        <f>'Sources and Uses Budget'!S69</f>
        <v>125000</v>
      </c>
      <c r="F69" s="362">
        <f>E69</f>
        <v>125000</v>
      </c>
      <c r="G69" s="362"/>
      <c r="H69" s="361">
        <f>'Sources and Uses Budget'!T69</f>
        <v>0</v>
      </c>
      <c r="I69" s="362"/>
      <c r="J69" s="362"/>
      <c r="K69" s="359"/>
    </row>
    <row r="70" spans="1:11" s="360" customFormat="1">
      <c r="A70" s="365" t="s">
        <v>601</v>
      </c>
      <c r="B70" s="361">
        <f>'Sources and Uses Budget'!C70</f>
        <v>375000</v>
      </c>
      <c r="C70" s="361">
        <f>SUM(C64:C69)</f>
        <v>375000</v>
      </c>
      <c r="D70" s="361">
        <f>SUM(D64:D69)</f>
        <v>0</v>
      </c>
      <c r="E70" s="361">
        <f>'Sources and Uses Budget'!S70</f>
        <v>225000</v>
      </c>
      <c r="F70" s="367">
        <f>SUM(F65:F69)</f>
        <v>225000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599515</v>
      </c>
      <c r="C75" s="362">
        <f>B75</f>
        <v>599515</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599515</v>
      </c>
      <c r="C77" s="361">
        <f>SUM(C72:C76)</f>
        <v>599515</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1711250</v>
      </c>
      <c r="C79" s="362">
        <f>B79</f>
        <v>1711250</v>
      </c>
      <c r="D79" s="362"/>
      <c r="E79" s="361">
        <f>'Sources and Uses Budget'!S79</f>
        <v>1711250</v>
      </c>
      <c r="F79" s="362">
        <f>E79</f>
        <v>1711250</v>
      </c>
      <c r="G79" s="362"/>
      <c r="H79" s="361">
        <f>'Sources and Uses Budget'!T79</f>
        <v>0</v>
      </c>
      <c r="I79" s="362"/>
      <c r="J79" s="362"/>
      <c r="K79" s="359"/>
    </row>
    <row r="80" spans="1:11" s="360" customFormat="1">
      <c r="A80" s="364" t="s">
        <v>58</v>
      </c>
      <c r="B80" s="361">
        <f>'Sources and Uses Budget'!C80</f>
        <v>395037</v>
      </c>
      <c r="C80" s="362">
        <f>B80</f>
        <v>395037</v>
      </c>
      <c r="D80" s="362"/>
      <c r="E80" s="361">
        <f>'Sources and Uses Budget'!S80</f>
        <v>395037</v>
      </c>
      <c r="F80" s="362">
        <f>E80</f>
        <v>395037</v>
      </c>
      <c r="G80" s="362"/>
      <c r="H80" s="361">
        <f>'Sources and Uses Budget'!T80</f>
        <v>0</v>
      </c>
      <c r="I80" s="362"/>
      <c r="J80" s="362"/>
      <c r="K80" s="359"/>
    </row>
    <row r="81" spans="1:11" s="360" customFormat="1">
      <c r="A81" s="365" t="s">
        <v>1209</v>
      </c>
      <c r="B81" s="361">
        <f>'Sources and Uses Budget'!C81</f>
        <v>2106287</v>
      </c>
      <c r="C81" s="361">
        <f>SUM(C79:C80)</f>
        <v>2106287</v>
      </c>
      <c r="D81" s="361">
        <f>SUM(D79:D80)</f>
        <v>0</v>
      </c>
      <c r="E81" s="361">
        <f>'Sources and Uses Budget'!S81</f>
        <v>2106287</v>
      </c>
      <c r="F81" s="361">
        <f>SUM(F79:F80)</f>
        <v>2106287</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72796</v>
      </c>
      <c r="C83" s="362">
        <f>B83</f>
        <v>72796</v>
      </c>
      <c r="D83" s="362"/>
      <c r="E83" s="363"/>
      <c r="F83" s="363"/>
      <c r="G83" s="363"/>
      <c r="H83" s="363"/>
      <c r="I83" s="363"/>
      <c r="J83" s="363"/>
      <c r="K83" s="359"/>
    </row>
    <row r="84" spans="1:11" s="360" customFormat="1">
      <c r="A84" s="145" t="s">
        <v>767</v>
      </c>
      <c r="B84" s="361">
        <f>'Sources and Uses Budget'!C84</f>
        <v>50000</v>
      </c>
      <c r="C84" s="362">
        <f t="shared" ref="C84:C95" si="6">B84</f>
        <v>50000</v>
      </c>
      <c r="D84" s="362"/>
      <c r="E84" s="361">
        <f>'Sources and Uses Budget'!S84</f>
        <v>50000</v>
      </c>
      <c r="F84" s="362">
        <f>E84</f>
        <v>50000</v>
      </c>
      <c r="G84" s="362"/>
      <c r="H84" s="361">
        <f>'Sources and Uses Budget'!T84</f>
        <v>0</v>
      </c>
      <c r="I84" s="362"/>
      <c r="J84" s="362"/>
      <c r="K84" s="359"/>
    </row>
    <row r="85" spans="1:11" s="360" customFormat="1">
      <c r="A85" s="145" t="s">
        <v>768</v>
      </c>
      <c r="B85" s="361">
        <f>'Sources and Uses Budget'!C85</f>
        <v>1602585</v>
      </c>
      <c r="C85" s="362">
        <f t="shared" si="6"/>
        <v>1602585</v>
      </c>
      <c r="D85" s="362"/>
      <c r="E85" s="361">
        <f>'Sources and Uses Budget'!S85</f>
        <v>1602585</v>
      </c>
      <c r="F85" s="362">
        <f t="shared" ref="F85:F87" si="7">E85</f>
        <v>1602585</v>
      </c>
      <c r="G85" s="362"/>
      <c r="H85" s="361">
        <f>'Sources and Uses Budget'!T85</f>
        <v>0</v>
      </c>
      <c r="I85" s="362"/>
      <c r="J85" s="362"/>
      <c r="K85" s="359"/>
    </row>
    <row r="86" spans="1:11" s="360" customFormat="1">
      <c r="A86" s="145" t="s">
        <v>769</v>
      </c>
      <c r="B86" s="361">
        <f>'Sources and Uses Budget'!C86</f>
        <v>672415</v>
      </c>
      <c r="C86" s="362">
        <f t="shared" si="6"/>
        <v>672415</v>
      </c>
      <c r="D86" s="362"/>
      <c r="E86" s="361">
        <f>'Sources and Uses Budget'!S86</f>
        <v>672415</v>
      </c>
      <c r="F86" s="362">
        <f t="shared" si="7"/>
        <v>672415</v>
      </c>
      <c r="G86" s="362"/>
      <c r="H86" s="361">
        <f>'Sources and Uses Budget'!T86</f>
        <v>0</v>
      </c>
      <c r="I86" s="362"/>
      <c r="J86" s="362"/>
      <c r="K86" s="359"/>
    </row>
    <row r="87" spans="1:11" s="360" customFormat="1">
      <c r="A87" s="145" t="s">
        <v>770</v>
      </c>
      <c r="B87" s="361">
        <f>'Sources and Uses Budget'!C87</f>
        <v>0</v>
      </c>
      <c r="C87" s="362">
        <f t="shared" si="6"/>
        <v>0</v>
      </c>
      <c r="D87" s="362"/>
      <c r="E87" s="361">
        <f>'Sources and Uses Budget'!S87</f>
        <v>0</v>
      </c>
      <c r="F87" s="362">
        <f t="shared" si="7"/>
        <v>0</v>
      </c>
      <c r="G87" s="362"/>
      <c r="H87" s="361">
        <f>'Sources and Uses Budget'!T87</f>
        <v>0</v>
      </c>
      <c r="I87" s="362"/>
      <c r="J87" s="362"/>
      <c r="K87" s="359"/>
    </row>
    <row r="88" spans="1:11" s="360" customFormat="1">
      <c r="A88" s="145" t="s">
        <v>771</v>
      </c>
      <c r="B88" s="361">
        <f>'Sources and Uses Budget'!C88</f>
        <v>300000</v>
      </c>
      <c r="C88" s="362">
        <f t="shared" si="6"/>
        <v>300000</v>
      </c>
      <c r="D88" s="362"/>
      <c r="E88" s="363"/>
      <c r="F88" s="363"/>
      <c r="G88" s="363"/>
      <c r="H88" s="363"/>
      <c r="I88" s="363"/>
      <c r="J88" s="363"/>
      <c r="K88" s="359"/>
    </row>
    <row r="89" spans="1:11" s="360" customFormat="1">
      <c r="A89" s="145" t="s">
        <v>772</v>
      </c>
      <c r="B89" s="361">
        <f>'Sources and Uses Budget'!C89</f>
        <v>150000</v>
      </c>
      <c r="C89" s="362">
        <f t="shared" si="6"/>
        <v>150000</v>
      </c>
      <c r="D89" s="362"/>
      <c r="E89" s="361">
        <f>'Sources and Uses Budget'!S89</f>
        <v>150000</v>
      </c>
      <c r="F89" s="362">
        <f>E89</f>
        <v>150000</v>
      </c>
      <c r="G89" s="362"/>
      <c r="H89" s="361">
        <f>'Sources and Uses Budget'!T89</f>
        <v>0</v>
      </c>
      <c r="I89" s="362"/>
      <c r="J89" s="362"/>
      <c r="K89" s="359"/>
    </row>
    <row r="90" spans="1:11" s="360" customFormat="1">
      <c r="A90" s="145" t="s">
        <v>773</v>
      </c>
      <c r="B90" s="361">
        <f>'Sources and Uses Budget'!C90</f>
        <v>15000</v>
      </c>
      <c r="C90" s="362">
        <f t="shared" si="6"/>
        <v>15000</v>
      </c>
      <c r="D90" s="362"/>
      <c r="E90" s="361">
        <f>'Sources and Uses Budget'!S90</f>
        <v>15000</v>
      </c>
      <c r="F90" s="362">
        <f t="shared" ref="F90:F95" si="8">E90</f>
        <v>15000</v>
      </c>
      <c r="G90" s="362"/>
      <c r="H90" s="361">
        <f>'Sources and Uses Budget'!T90</f>
        <v>0</v>
      </c>
      <c r="I90" s="362"/>
      <c r="J90" s="362"/>
      <c r="K90" s="359"/>
    </row>
    <row r="91" spans="1:11" s="360" customFormat="1">
      <c r="A91" s="155" t="s">
        <v>372</v>
      </c>
      <c r="B91" s="361">
        <f>'Sources and Uses Budget'!C91</f>
        <v>50000</v>
      </c>
      <c r="C91" s="362">
        <f t="shared" si="6"/>
        <v>50000</v>
      </c>
      <c r="D91" s="362"/>
      <c r="E91" s="361">
        <f>'Sources and Uses Budget'!S91</f>
        <v>50000</v>
      </c>
      <c r="F91" s="362">
        <f t="shared" si="8"/>
        <v>50000</v>
      </c>
      <c r="G91" s="362"/>
      <c r="H91" s="361">
        <f>'Sources and Uses Budget'!T91</f>
        <v>0</v>
      </c>
      <c r="I91" s="362"/>
      <c r="J91" s="362"/>
      <c r="K91" s="359"/>
    </row>
    <row r="92" spans="1:11" s="360" customFormat="1">
      <c r="A92" s="508" t="s">
        <v>1211</v>
      </c>
      <c r="B92" s="361">
        <f>'Sources and Uses Budget'!C92</f>
        <v>20000</v>
      </c>
      <c r="C92" s="362">
        <f t="shared" si="6"/>
        <v>20000</v>
      </c>
      <c r="D92" s="362"/>
      <c r="E92" s="361">
        <f>'Sources and Uses Budget'!S92</f>
        <v>20000</v>
      </c>
      <c r="F92" s="362">
        <f t="shared" si="8"/>
        <v>20000</v>
      </c>
      <c r="G92" s="362"/>
      <c r="H92" s="361">
        <f>'Sources and Uses Budget'!T92</f>
        <v>0</v>
      </c>
      <c r="I92" s="362"/>
      <c r="J92" s="362"/>
      <c r="K92" s="359"/>
    </row>
    <row r="93" spans="1:11" s="360" customFormat="1" ht="24">
      <c r="A93" s="364" t="str">
        <f>'Sources and Uses Budget'!$A93</f>
        <v>Prevailing Wage monitoring + Predevelopment Loan cost</v>
      </c>
      <c r="B93" s="361">
        <f>'Sources and Uses Budget'!C93</f>
        <v>242000</v>
      </c>
      <c r="C93" s="362">
        <f t="shared" si="6"/>
        <v>242000</v>
      </c>
      <c r="D93" s="362"/>
      <c r="E93" s="361">
        <f>'Sources and Uses Budget'!S93</f>
        <v>242000</v>
      </c>
      <c r="F93" s="362">
        <f t="shared" si="8"/>
        <v>242000</v>
      </c>
      <c r="G93" s="362"/>
      <c r="H93" s="361">
        <f>'Sources and Uses Budget'!T93</f>
        <v>0</v>
      </c>
      <c r="I93" s="362"/>
      <c r="J93" s="362"/>
      <c r="K93" s="359"/>
    </row>
    <row r="94" spans="1:11" s="360" customFormat="1">
      <c r="A94" s="364" t="str">
        <f>'Sources and Uses Budget'!$A94</f>
        <v>Relocation cost</v>
      </c>
      <c r="B94" s="361">
        <f>'Sources and Uses Budget'!C94</f>
        <v>47000</v>
      </c>
      <c r="C94" s="362">
        <f t="shared" si="6"/>
        <v>47000</v>
      </c>
      <c r="D94" s="362"/>
      <c r="E94" s="361">
        <f>'Sources and Uses Budget'!S94</f>
        <v>0</v>
      </c>
      <c r="F94" s="362">
        <f t="shared" si="8"/>
        <v>0</v>
      </c>
      <c r="G94" s="362"/>
      <c r="H94" s="361">
        <f>'Sources and Uses Budget'!T94</f>
        <v>0</v>
      </c>
      <c r="I94" s="362"/>
      <c r="J94" s="362"/>
      <c r="K94" s="359"/>
    </row>
    <row r="95" spans="1:11" s="360" customFormat="1" ht="24">
      <c r="A95" s="364" t="str">
        <f>'Sources and Uses Budget'!$A95</f>
        <v>Environmental remediation + CDLAC Fee + Misc 3rd party costs</v>
      </c>
      <c r="B95" s="361">
        <f>'Sources and Uses Budget'!C95</f>
        <v>305600</v>
      </c>
      <c r="C95" s="362">
        <f t="shared" si="6"/>
        <v>305600</v>
      </c>
      <c r="D95" s="362"/>
      <c r="E95" s="361">
        <f>'Sources and Uses Budget'!S95</f>
        <v>255600</v>
      </c>
      <c r="F95" s="362">
        <f t="shared" si="8"/>
        <v>255600</v>
      </c>
      <c r="G95" s="362"/>
      <c r="H95" s="361">
        <f>'Sources and Uses Budget'!T95</f>
        <v>0</v>
      </c>
      <c r="I95" s="362"/>
      <c r="J95" s="362"/>
      <c r="K95" s="359"/>
    </row>
    <row r="96" spans="1:11" s="360" customFormat="1">
      <c r="A96" s="365" t="s">
        <v>774</v>
      </c>
      <c r="B96" s="361">
        <f>'Sources and Uses Budget'!C96</f>
        <v>3527396</v>
      </c>
      <c r="C96" s="361">
        <f>SUM(C83:C95)</f>
        <v>3527396</v>
      </c>
      <c r="D96" s="361">
        <f>SUM(D83:D95)</f>
        <v>0</v>
      </c>
      <c r="E96" s="361">
        <f>'Sources and Uses Budget'!S96</f>
        <v>3057600</v>
      </c>
      <c r="F96" s="367">
        <f>SUM(F84:F87,F89:F95)</f>
        <v>3057600</v>
      </c>
      <c r="G96" s="367">
        <f>SUM(G84:G87,G89:G95)</f>
        <v>0</v>
      </c>
      <c r="H96" s="361">
        <f>'Sources and Uses Budget'!T96</f>
        <v>0</v>
      </c>
      <c r="I96" s="361">
        <f>SUM(I84:I87,I89:I95)</f>
        <v>0</v>
      </c>
      <c r="J96" s="361">
        <f>SUM(J84:J87,J89:J95)</f>
        <v>0</v>
      </c>
      <c r="K96" s="359"/>
    </row>
    <row r="97" spans="1:11" s="360" customFormat="1">
      <c r="A97" s="365" t="s">
        <v>1029</v>
      </c>
      <c r="B97" s="361">
        <f>'Sources and Uses Budget'!C97</f>
        <v>50722067</v>
      </c>
      <c r="C97" s="361">
        <f>SUM(C63+C70+C77+C81+C96)</f>
        <v>50722067</v>
      </c>
      <c r="D97" s="361">
        <f>SUM(D63+D70+D77+D81+D96)</f>
        <v>0</v>
      </c>
      <c r="E97" s="361">
        <f>'Sources and Uses Budget'!S97</f>
        <v>43438338</v>
      </c>
      <c r="F97" s="367">
        <f>SUM(+F63+F70+F81+F96)</f>
        <v>43438338</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6515750</v>
      </c>
      <c r="C99" s="362">
        <f>B99</f>
        <v>6515750</v>
      </c>
      <c r="D99" s="362"/>
      <c r="E99" s="361">
        <f>'Sources and Uses Budget'!S99</f>
        <v>6515750</v>
      </c>
      <c r="F99" s="362">
        <f>E99</f>
        <v>6515750</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6515750</v>
      </c>
      <c r="C104" s="361">
        <f>SUM(C99:C103)</f>
        <v>6515750</v>
      </c>
      <c r="D104" s="361">
        <f>SUM(D99:D103)</f>
        <v>0</v>
      </c>
      <c r="E104" s="361">
        <f>'Sources and Uses Budget'!S104</f>
        <v>6515750</v>
      </c>
      <c r="F104" s="367">
        <f>SUM(F99:F103)</f>
        <v>6515750</v>
      </c>
      <c r="G104" s="367">
        <f>SUM(G99:G103)</f>
        <v>0</v>
      </c>
      <c r="H104" s="361">
        <f>'Sources and Uses Budget'!T104</f>
        <v>0</v>
      </c>
      <c r="I104" s="367">
        <f>SUM(I99:I103)</f>
        <v>0</v>
      </c>
      <c r="J104" s="367">
        <f>SUM(J99:J103)</f>
        <v>0</v>
      </c>
      <c r="K104" s="359"/>
    </row>
    <row r="105" spans="1:11" s="360" customFormat="1">
      <c r="A105" s="365" t="s">
        <v>1030</v>
      </c>
      <c r="B105" s="361">
        <f>'Sources and Uses Budget'!C105</f>
        <v>57237817</v>
      </c>
      <c r="C105" s="367">
        <f>SUM(C97+C104)</f>
        <v>57237817</v>
      </c>
      <c r="D105" s="367">
        <f>SUM(D97+D104)</f>
        <v>0</v>
      </c>
      <c r="E105" s="361">
        <f>'Sources and Uses Budget'!S105</f>
        <v>49954088</v>
      </c>
      <c r="F105" s="367">
        <f>F97+F104</f>
        <v>49954088</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49954088</v>
      </c>
      <c r="F107" s="367">
        <f>F105+F106</f>
        <v>49954088</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3"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3" t="s">
        <v>2456</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2455</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5" t="str">
        <f>IF(Application!H18="","",Application!H18)</f>
        <v>The Ridge at Ralston</v>
      </c>
      <c r="M4" s="1876"/>
      <c r="N4" s="1876"/>
      <c r="O4" s="1876"/>
      <c r="P4" s="1876"/>
      <c r="Q4" s="1876"/>
      <c r="R4" s="1876"/>
      <c r="S4" s="1876"/>
      <c r="T4" s="1876"/>
      <c r="U4" s="1876"/>
      <c r="V4" s="1876"/>
      <c r="W4" s="1876"/>
      <c r="X4" s="1876"/>
      <c r="Y4" s="1876"/>
      <c r="Z4" s="1876"/>
      <c r="AA4" s="1876"/>
      <c r="AB4" s="1876"/>
      <c r="AC4" s="1877"/>
      <c r="AD4" s="1190"/>
      <c r="AE4" s="1190"/>
      <c r="AF4" s="1889" t="s">
        <v>2454</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2453</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5" t="str">
        <f>IF(Application!H16="","",Application!H16)</f>
        <v>The Ridge at Ralston LP</v>
      </c>
      <c r="M6" s="1876"/>
      <c r="N6" s="1876"/>
      <c r="O6" s="1876"/>
      <c r="P6" s="1876"/>
      <c r="Q6" s="1876"/>
      <c r="R6" s="1876"/>
      <c r="S6" s="1876"/>
      <c r="T6" s="1876"/>
      <c r="U6" s="1876"/>
      <c r="V6" s="1876"/>
      <c r="W6" s="1876"/>
      <c r="X6" s="1876"/>
      <c r="Y6" s="1876"/>
      <c r="Z6" s="1876"/>
      <c r="AA6" s="1876"/>
      <c r="AB6" s="1876"/>
      <c r="AC6" s="1877"/>
      <c r="AD6" s="1190"/>
      <c r="AE6" s="1190"/>
      <c r="AF6" s="1878" t="s">
        <v>2451</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2450</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2448</v>
      </c>
      <c r="AG8" s="1878"/>
      <c r="AH8" s="1878"/>
      <c r="AI8" s="1878"/>
      <c r="AJ8" s="1878"/>
      <c r="AK8" s="1878"/>
      <c r="AL8" s="1878"/>
      <c r="AM8" s="1878"/>
      <c r="AN8" s="1878"/>
      <c r="AO8" s="1878"/>
      <c r="AP8" s="1879" t="s">
        <v>2098</v>
      </c>
      <c r="AQ8" s="1879"/>
      <c r="AR8" s="1879"/>
      <c r="AS8" s="1879"/>
      <c r="AT8" s="1879"/>
      <c r="AU8" s="187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2447</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4">
        <f>Application!AO627</f>
        <v>3750688</v>
      </c>
      <c r="O10" s="1904"/>
      <c r="P10" s="1904"/>
      <c r="Q10" s="1904"/>
      <c r="R10" s="1904"/>
      <c r="S10" s="1904"/>
      <c r="T10" s="1904"/>
      <c r="U10" s="1190"/>
      <c r="V10" s="1190"/>
      <c r="W10" s="1190"/>
      <c r="X10" s="1193"/>
      <c r="Y10" s="1193"/>
      <c r="Z10" s="1193"/>
      <c r="AA10" s="1193"/>
      <c r="AB10" s="1193"/>
      <c r="AC10" s="1193"/>
      <c r="AD10" s="1193"/>
      <c r="AE10" s="1193"/>
      <c r="AF10" s="1889" t="s">
        <v>2444</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2441</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2" t="s">
        <v>2439</v>
      </c>
      <c r="C13" s="1893"/>
      <c r="D13" s="1893"/>
      <c r="E13" s="1893"/>
      <c r="F13" s="1893"/>
      <c r="G13" s="1893"/>
      <c r="H13" s="1893"/>
      <c r="I13" s="1893"/>
      <c r="J13" s="1893"/>
      <c r="K13" s="1893"/>
      <c r="L13" s="1893"/>
      <c r="M13" s="1893"/>
      <c r="N13" s="1893"/>
      <c r="O13" s="1893"/>
      <c r="P13" s="1894"/>
      <c r="Q13" s="1895" t="s">
        <v>669</v>
      </c>
      <c r="R13" s="1896"/>
      <c r="S13" s="1896"/>
      <c r="T13" s="1897"/>
      <c r="U13" s="1193"/>
      <c r="V13" s="1190"/>
      <c r="W13" s="1190"/>
      <c r="X13" s="1190"/>
      <c r="Y13" s="1190"/>
      <c r="Z13" s="1190"/>
      <c r="AA13" s="1898" t="s">
        <v>2438</v>
      </c>
      <c r="AB13" s="1898"/>
      <c r="AC13" s="1898"/>
      <c r="AD13" s="1898"/>
      <c r="AE13" s="1898"/>
      <c r="AF13" s="1898"/>
      <c r="AG13" s="1898"/>
      <c r="AH13" s="1898"/>
      <c r="AI13" s="1898"/>
      <c r="AJ13" s="1898"/>
      <c r="AK13" s="1898"/>
      <c r="AL13" s="1898"/>
      <c r="AM13" s="1898"/>
      <c r="AN13" s="1898"/>
      <c r="AO13" s="1899">
        <f>Application!W473</f>
        <v>10</v>
      </c>
      <c r="AP13" s="1900"/>
      <c r="AQ13" s="1900"/>
      <c r="AR13" s="1900"/>
      <c r="AS13" s="1900"/>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2436</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thickBot="1">
      <c r="A15" s="1190"/>
      <c r="B15" s="1905" t="s">
        <v>2435</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2434</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0" t="s">
        <v>2433</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2432</v>
      </c>
      <c r="C18" s="1914"/>
      <c r="D18" s="1914"/>
      <c r="E18" s="1914"/>
      <c r="F18" s="1914"/>
      <c r="G18" s="1914"/>
      <c r="H18" s="1914"/>
      <c r="I18" s="1915"/>
      <c r="J18" s="1916" t="s">
        <v>1586</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2431</v>
      </c>
      <c r="AU18" s="1917"/>
      <c r="AV18" s="1917"/>
      <c r="AW18" s="1917"/>
      <c r="AX18" s="1917"/>
      <c r="AY18" s="1919"/>
      <c r="AZ18" s="1190"/>
      <c r="BA18" s="1190"/>
      <c r="BB18" s="1190"/>
      <c r="BC18" s="1190"/>
      <c r="BD18" s="1190"/>
      <c r="BE18" s="1194"/>
    </row>
    <row r="19" spans="1:58" ht="15">
      <c r="A19" s="1190"/>
      <c r="B19" s="1920">
        <v>0.3</v>
      </c>
      <c r="C19" s="1921"/>
      <c r="D19" s="1921"/>
      <c r="E19" s="1921"/>
      <c r="F19" s="1921"/>
      <c r="G19" s="1921"/>
      <c r="H19" s="1921"/>
      <c r="I19" s="1922"/>
      <c r="J19" s="1923">
        <f t="shared" ref="J19:J24" si="0">SUM(P19:AS19)</f>
        <v>17</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11</v>
      </c>
      <c r="W19" s="1924"/>
      <c r="X19" s="1924"/>
      <c r="Y19" s="1924"/>
      <c r="Z19" s="1924"/>
      <c r="AA19" s="1925"/>
      <c r="AB19" s="1923" cm="1">
        <f t="array" ref="AB19">SUMPRODUCT((Application!$B$714:$B$738 = 'CalHFA Addendum'!AB$18)*(Application!$AC$714:$AC$738 = 'CalHFA Addendum'!$B19),Application!$G$714:$G$738)</f>
        <v>3</v>
      </c>
      <c r="AC19" s="1924"/>
      <c r="AD19" s="1924"/>
      <c r="AE19" s="1924"/>
      <c r="AF19" s="1924"/>
      <c r="AG19" s="1925"/>
      <c r="AH19" s="1923" cm="1">
        <f t="array" ref="AH19">SUMPRODUCT((Application!$B$714:$B$738 = 'CalHFA Addendum'!AH$18)*(Application!$AC$714:$AC$738 = 'CalHFA Addendum'!$B19),Application!$G$714:$G$738)</f>
        <v>3</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0.26153846153846155</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5">
      <c r="A21" s="1190"/>
      <c r="B21" s="1920">
        <v>0.5</v>
      </c>
      <c r="C21" s="1921"/>
      <c r="D21" s="1921"/>
      <c r="E21" s="1921"/>
      <c r="F21" s="1921"/>
      <c r="G21" s="1921"/>
      <c r="H21" s="1921"/>
      <c r="I21" s="1922"/>
      <c r="J21" s="1923">
        <f t="shared" si="0"/>
        <v>35</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15</v>
      </c>
      <c r="W21" s="1924"/>
      <c r="X21" s="1924"/>
      <c r="Y21" s="1924"/>
      <c r="Z21" s="1924"/>
      <c r="AA21" s="1925"/>
      <c r="AB21" s="1923" cm="1">
        <f t="array" ref="AB21">SUMPRODUCT((Application!$B$714:$B$738 = 'CalHFA Addendum'!AB$18)*(Application!$AC$714:$AC$738 = 'CalHFA Addendum'!$B21),Application!$G$714:$G$738)</f>
        <v>11</v>
      </c>
      <c r="AC21" s="1924"/>
      <c r="AD21" s="1924"/>
      <c r="AE21" s="1924"/>
      <c r="AF21" s="1924"/>
      <c r="AG21" s="1925"/>
      <c r="AH21" s="1923" cm="1">
        <f t="array" ref="AH21">SUMPRODUCT((Application!$B$714:$B$738 = 'CalHFA Addendum'!AH$18)*(Application!$AC$714:$AC$738 = 'CalHFA Addendum'!$B21),Application!$G$714:$G$738)</f>
        <v>9</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0.53846153846153844</v>
      </c>
      <c r="AU21" s="1927"/>
      <c r="AV21" s="1927"/>
      <c r="AW21" s="1927"/>
      <c r="AX21" s="1927"/>
      <c r="AY21" s="1928"/>
      <c r="AZ21" s="1190"/>
      <c r="BA21" s="1190"/>
      <c r="BB21" s="1190"/>
      <c r="BC21" s="1190"/>
      <c r="BD21" s="1190"/>
      <c r="BE21" s="1194"/>
    </row>
    <row r="22" spans="1:58" ht="15">
      <c r="A22" s="1190"/>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0"/>
      <c r="BA22" s="1190"/>
      <c r="BB22" s="1190"/>
      <c r="BC22" s="1190"/>
      <c r="BD22" s="1190"/>
      <c r="BE22" s="1194"/>
    </row>
    <row r="23" spans="1:58" ht="15">
      <c r="A23" s="1190"/>
      <c r="B23" s="1920">
        <v>0.7</v>
      </c>
      <c r="C23" s="1921"/>
      <c r="D23" s="1921"/>
      <c r="E23" s="1921"/>
      <c r="F23" s="1921"/>
      <c r="G23" s="1921"/>
      <c r="H23" s="1921"/>
      <c r="I23" s="1922"/>
      <c r="J23" s="1923">
        <f t="shared" si="0"/>
        <v>12</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4</v>
      </c>
      <c r="W23" s="1924"/>
      <c r="X23" s="1924"/>
      <c r="Y23" s="1924"/>
      <c r="Z23" s="1924"/>
      <c r="AA23" s="1925"/>
      <c r="AB23" s="1923" cm="1">
        <f t="array" ref="AB23">SUMPRODUCT((Application!$B$714:$B$738 = 'CalHFA Addendum'!AB$18)*(Application!$AC$714:$AC$738 = 'CalHFA Addendum'!$B23),Application!$G$714:$G$738)</f>
        <v>4</v>
      </c>
      <c r="AC23" s="1924"/>
      <c r="AD23" s="1924"/>
      <c r="AE23" s="1924"/>
      <c r="AF23" s="1924"/>
      <c r="AG23" s="1925"/>
      <c r="AH23" s="1923" cm="1">
        <f t="array" ref="AH23">SUMPRODUCT((Application!$B$714:$B$738 = 'CalHFA Addendum'!AH$18)*(Application!$AC$714:$AC$738 = 'CalHFA Addendum'!$B23),Application!$G$714:$G$738)</f>
        <v>4</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0.18461538461538463</v>
      </c>
      <c r="AU23" s="1927"/>
      <c r="AV23" s="1927"/>
      <c r="AW23" s="1927"/>
      <c r="AX23" s="1927"/>
      <c r="AY23" s="1928"/>
      <c r="AZ23" s="1190"/>
      <c r="BA23" s="1190"/>
      <c r="BB23" s="1190"/>
      <c r="BC23" s="1190"/>
      <c r="BD23" s="1190"/>
      <c r="BE23" s="1194"/>
    </row>
    <row r="24" spans="1:58" ht="15">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thickBot="1">
      <c r="A28" s="1190"/>
      <c r="B28" s="1932" t="s">
        <v>2430</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0</v>
      </c>
      <c r="AC28" s="1936"/>
      <c r="AD28" s="1936"/>
      <c r="AE28" s="1936"/>
      <c r="AF28" s="1936"/>
      <c r="AG28" s="1937"/>
      <c r="AH28" s="1935">
        <f>_xlfn.IFNA(VLOOKUP(AH$18,Application!$J$773:$S$776,6,FALSE), 0)</f>
        <v>1</v>
      </c>
      <c r="AI28" s="1936"/>
      <c r="AJ28" s="1936"/>
      <c r="AK28" s="1936"/>
      <c r="AL28" s="1936"/>
      <c r="AM28" s="1937"/>
      <c r="AN28" s="1935">
        <f>_xlfn.IFNA(VLOOKUP(AN$18,Application!$J$773:$S$776,6,FALSE), 0)</f>
        <v>0</v>
      </c>
      <c r="AO28" s="1936"/>
      <c r="AP28" s="1936"/>
      <c r="AQ28" s="1936"/>
      <c r="AR28" s="1936"/>
      <c r="AS28" s="1937"/>
      <c r="AT28" s="1938">
        <f t="shared" si="1"/>
        <v>1.5384615384615385E-2</v>
      </c>
      <c r="AU28" s="1939"/>
      <c r="AV28" s="1939"/>
      <c r="AW28" s="1939"/>
      <c r="AX28" s="1939"/>
      <c r="AY28" s="1940"/>
      <c r="AZ28" s="1190"/>
      <c r="BA28" s="1190"/>
      <c r="BB28" s="1190"/>
      <c r="BC28" s="1190"/>
      <c r="BD28" s="1190"/>
      <c r="BE28" s="1194"/>
    </row>
    <row r="29" spans="1:58" thickBot="1">
      <c r="A29" s="1190"/>
      <c r="B29" s="1969" t="s">
        <v>1586</v>
      </c>
      <c r="C29" s="1942"/>
      <c r="D29" s="1942"/>
      <c r="E29" s="1942"/>
      <c r="F29" s="1942"/>
      <c r="G29" s="1942"/>
      <c r="H29" s="1942"/>
      <c r="I29" s="1943"/>
      <c r="J29" s="1941">
        <f>SUM(J19:O28)</f>
        <v>65</v>
      </c>
      <c r="K29" s="1942"/>
      <c r="L29" s="1942"/>
      <c r="M29" s="1942"/>
      <c r="N29" s="1942"/>
      <c r="O29" s="1943"/>
      <c r="P29" s="1941">
        <f>SUM(P19:U28)</f>
        <v>0</v>
      </c>
      <c r="Q29" s="1942"/>
      <c r="R29" s="1942"/>
      <c r="S29" s="1942"/>
      <c r="T29" s="1942"/>
      <c r="U29" s="1943"/>
      <c r="V29" s="1941">
        <f>SUM(V19:AA28)</f>
        <v>30</v>
      </c>
      <c r="W29" s="1942"/>
      <c r="X29" s="1942"/>
      <c r="Y29" s="1942"/>
      <c r="Z29" s="1942"/>
      <c r="AA29" s="1943"/>
      <c r="AB29" s="1941">
        <f>SUM(AB19:AG28)</f>
        <v>18</v>
      </c>
      <c r="AC29" s="1942"/>
      <c r="AD29" s="1942"/>
      <c r="AE29" s="1942"/>
      <c r="AF29" s="1942"/>
      <c r="AG29" s="1943"/>
      <c r="AH29" s="1941">
        <f>SUM(AH19:AM28)</f>
        <v>17</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7" t="s">
        <v>2429</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thickBot="1">
      <c r="A32" s="1190"/>
      <c r="B32" s="1950" t="s">
        <v>2428</v>
      </c>
      <c r="C32" s="1951"/>
      <c r="D32" s="1951"/>
      <c r="E32" s="1951"/>
      <c r="F32" s="1951"/>
      <c r="G32" s="1951"/>
      <c r="H32" s="1951"/>
      <c r="I32" s="1951"/>
      <c r="J32" s="1954" t="s">
        <v>2427</v>
      </c>
      <c r="K32" s="1955"/>
      <c r="L32" s="1955"/>
      <c r="M32" s="1955"/>
      <c r="N32" s="1954" t="s">
        <v>2426</v>
      </c>
      <c r="O32" s="1955"/>
      <c r="P32" s="1955"/>
      <c r="Q32" s="1957"/>
      <c r="R32" s="1959" t="s">
        <v>2425</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2424</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2423</v>
      </c>
      <c r="AT35" s="1971"/>
      <c r="AU35" s="1971"/>
      <c r="AV35" s="1971"/>
      <c r="AW35" s="1971"/>
      <c r="AX35" s="1979"/>
      <c r="AY35" s="1970" t="s">
        <v>2422</v>
      </c>
      <c r="AZ35" s="1971"/>
      <c r="BA35" s="1971"/>
      <c r="BB35" s="1971"/>
      <c r="BC35" s="1971"/>
      <c r="BD35" s="1972"/>
      <c r="BE35" s="1194"/>
    </row>
    <row r="36" spans="1:58" ht="15.75" customHeight="1">
      <c r="A36" s="1190"/>
      <c r="B36" s="1989" t="s">
        <v>2421</v>
      </c>
      <c r="C36" s="1990"/>
      <c r="D36" s="1990"/>
      <c r="E36" s="1990"/>
      <c r="F36" s="1990"/>
      <c r="G36" s="1990"/>
      <c r="H36" s="1990"/>
      <c r="I36" s="1990"/>
      <c r="J36" s="1991" t="s">
        <v>2420</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2419</v>
      </c>
      <c r="C37" s="1990"/>
      <c r="D37" s="1990"/>
      <c r="E37" s="1990"/>
      <c r="F37" s="1990"/>
      <c r="G37" s="1990"/>
      <c r="H37" s="1990"/>
      <c r="I37" s="1990"/>
      <c r="J37" s="1991" t="s">
        <v>2418</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2417</v>
      </c>
      <c r="C38" s="1990"/>
      <c r="D38" s="1990"/>
      <c r="E38" s="1990"/>
      <c r="F38" s="1990"/>
      <c r="G38" s="1990"/>
      <c r="H38" s="1990"/>
      <c r="I38" s="1990"/>
      <c r="J38" s="1991" t="s">
        <v>2416</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2415</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2415</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2414</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2414</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2413</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2412</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2411</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2335</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2408</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2401</v>
      </c>
      <c r="C51" s="2009"/>
      <c r="D51" s="2009"/>
      <c r="E51" s="2009"/>
      <c r="F51" s="2009"/>
      <c r="G51" s="2009"/>
      <c r="H51" s="2009"/>
      <c r="I51" s="2009"/>
      <c r="J51" s="2009" t="s">
        <v>2407</v>
      </c>
      <c r="K51" s="2009"/>
      <c r="L51" s="2009"/>
      <c r="M51" s="2009"/>
      <c r="N51" s="2009"/>
      <c r="O51" s="2009"/>
      <c r="P51" s="2009"/>
      <c r="Q51" s="2009"/>
      <c r="R51" s="2010" t="s">
        <v>2406</v>
      </c>
      <c r="S51" s="2010"/>
      <c r="T51" s="2010"/>
      <c r="U51" s="2010"/>
      <c r="V51" s="2010"/>
      <c r="W51" s="2010"/>
      <c r="X51" s="2010"/>
      <c r="Y51" s="2010"/>
      <c r="Z51" s="2010" t="s">
        <v>2405</v>
      </c>
      <c r="AA51" s="2010"/>
      <c r="AB51" s="2010"/>
      <c r="AC51" s="2010"/>
      <c r="AD51" s="2010"/>
      <c r="AE51" s="2010"/>
      <c r="AF51" s="2010"/>
      <c r="AG51" s="2010"/>
      <c r="AH51" s="2010" t="s">
        <v>2404</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2403</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2402</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2401</v>
      </c>
      <c r="C59" s="2018"/>
      <c r="D59" s="2018"/>
      <c r="E59" s="2018"/>
      <c r="F59" s="2018"/>
      <c r="G59" s="2018"/>
      <c r="H59" s="2018"/>
      <c r="I59" s="2019"/>
      <c r="J59" s="1911" t="s">
        <v>2400</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2398</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2397</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0"/>
      <c r="BE68" s="1194"/>
      <c r="BM68" s="1199" t="s">
        <v>2396</v>
      </c>
    </row>
    <row r="69" spans="1:94" ht="15.75" customHeight="1" thickTop="1" thickBot="1">
      <c r="A69" s="1190"/>
      <c r="B69" s="2035" t="s">
        <v>2395</v>
      </c>
      <c r="C69" s="2036"/>
      <c r="D69" s="2036"/>
      <c r="E69" s="2036"/>
      <c r="F69" s="2036"/>
      <c r="G69" s="2036"/>
      <c r="H69" s="2036"/>
      <c r="I69" s="2036"/>
      <c r="J69" s="2036"/>
      <c r="K69" s="2036"/>
      <c r="L69" s="2036"/>
      <c r="M69" s="2036"/>
      <c r="N69" s="2036"/>
      <c r="O69" s="2037" t="s">
        <v>2394</v>
      </c>
      <c r="P69" s="2038"/>
      <c r="Q69" s="2038"/>
      <c r="R69" s="2038"/>
      <c r="S69" s="2038"/>
      <c r="T69" s="2038"/>
      <c r="U69" s="2038"/>
      <c r="V69" s="2038"/>
      <c r="W69" s="2038"/>
      <c r="X69" s="2038"/>
      <c r="Y69" s="2038"/>
      <c r="Z69" s="2038"/>
      <c r="AA69" s="2039"/>
      <c r="AB69" s="1190"/>
      <c r="AC69" s="2040" t="s">
        <v>2393</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0"/>
      <c r="BE69" s="1194"/>
      <c r="BM69" s="1200" t="s">
        <v>545</v>
      </c>
    </row>
    <row r="70" spans="1:94" ht="15.75" customHeight="1">
      <c r="A70" s="1190"/>
      <c r="B70" s="1989" t="s">
        <v>2392</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2391</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669</v>
      </c>
    </row>
    <row r="71" spans="1:94" ht="15.75" customHeight="1" thickBot="1">
      <c r="A71" s="1190"/>
      <c r="B71" s="1989" t="s">
        <v>2390</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2389</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2388</v>
      </c>
    </row>
    <row r="72" spans="1:94" ht="15.75" customHeight="1">
      <c r="A72" s="1190"/>
      <c r="B72" s="1989" t="s">
        <v>2387</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2386</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2385</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2330</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2383</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2382</v>
      </c>
      <c r="C81" s="2065"/>
      <c r="D81" s="2065"/>
      <c r="E81" s="2065"/>
      <c r="F81" s="2065"/>
      <c r="G81" s="2065"/>
      <c r="H81" s="2065"/>
      <c r="I81" s="2065"/>
      <c r="J81" s="2065"/>
      <c r="K81" s="2065"/>
      <c r="L81" s="2065"/>
      <c r="M81" s="2065"/>
      <c r="N81" s="2065"/>
      <c r="O81" s="2065"/>
      <c r="P81" s="2065"/>
      <c r="Q81" s="2065"/>
      <c r="R81" s="2066" t="s">
        <v>2188</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2381</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2380</v>
      </c>
      <c r="AK83" s="2088"/>
      <c r="AL83" s="2088"/>
      <c r="AM83" s="2088"/>
      <c r="AN83" s="2088"/>
      <c r="AO83" s="2088"/>
      <c r="AP83" s="2088"/>
      <c r="AQ83" s="2088"/>
      <c r="AR83" s="2088"/>
      <c r="AS83" s="2088"/>
      <c r="AT83" s="2088"/>
      <c r="AU83" s="2088"/>
      <c r="AV83" s="2088"/>
      <c r="AW83" s="2088"/>
      <c r="AX83" s="2088"/>
      <c r="AY83" s="2091" t="s">
        <v>545</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2370</v>
      </c>
      <c r="J84" s="2009"/>
      <c r="K84" s="2009"/>
      <c r="L84" s="2009"/>
      <c r="M84" s="2009"/>
      <c r="N84" s="2009"/>
      <c r="O84" s="2009" t="s">
        <v>2346</v>
      </c>
      <c r="P84" s="2009"/>
      <c r="Q84" s="2009"/>
      <c r="R84" s="2009"/>
      <c r="S84" s="2009"/>
      <c r="T84" s="2009"/>
      <c r="U84" s="2009"/>
      <c r="V84" s="2095" t="s">
        <v>2345</v>
      </c>
      <c r="W84" s="2095"/>
      <c r="X84" s="2095"/>
      <c r="Y84" s="2095"/>
      <c r="Z84" s="2095"/>
      <c r="AA84" s="2095"/>
      <c r="AB84" s="2096" t="s">
        <v>2369</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2368</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2367</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2374</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2366</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2378</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2377</v>
      </c>
      <c r="C94" s="2065"/>
      <c r="D94" s="2065"/>
      <c r="E94" s="2065"/>
      <c r="F94" s="2065"/>
      <c r="G94" s="2065"/>
      <c r="H94" s="2065"/>
      <c r="I94" s="2065"/>
      <c r="J94" s="2065"/>
      <c r="K94" s="2065"/>
      <c r="L94" s="2065"/>
      <c r="M94" s="2065"/>
      <c r="N94" s="2065"/>
      <c r="O94" s="2065"/>
      <c r="P94" s="2065"/>
      <c r="Q94" s="2099"/>
      <c r="R94" s="2066" t="s">
        <v>2188</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2376</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2375</v>
      </c>
      <c r="AK96" s="2088"/>
      <c r="AL96" s="2088"/>
      <c r="AM96" s="2088"/>
      <c r="AN96" s="2088"/>
      <c r="AO96" s="2088"/>
      <c r="AP96" s="2088"/>
      <c r="AQ96" s="2088"/>
      <c r="AR96" s="2088"/>
      <c r="AS96" s="2088"/>
      <c r="AT96" s="2088"/>
      <c r="AU96" s="2088"/>
      <c r="AV96" s="2088"/>
      <c r="AW96" s="2088"/>
      <c r="AX96" s="2088"/>
      <c r="AY96" s="2091" t="s">
        <v>545</v>
      </c>
      <c r="AZ96" s="2091"/>
      <c r="BA96" s="2091"/>
      <c r="BB96" s="2092"/>
      <c r="BC96" s="1190"/>
      <c r="BD96" s="1190"/>
      <c r="BE96" s="1194"/>
      <c r="BQ96" s="1256" t="str">
        <f>Application!M243&amp;IF(TRIM(Application!AA249)&lt;&gt;""," ("&amp;Application!AA249&amp;")","")</f>
        <v>Abode HD 678 Ralston LLC (Abode Housing Development)</v>
      </c>
      <c r="BR96" s="1259">
        <f>Application!AH246</f>
        <v>4.8999999999999998E-4</v>
      </c>
      <c r="CM96" s="1188"/>
      <c r="CN96" s="1188"/>
      <c r="CO96" s="1188"/>
      <c r="CP96" s="1188"/>
    </row>
    <row r="97" spans="1:94" ht="15.75" customHeight="1">
      <c r="A97" s="1190"/>
      <c r="B97" s="2008"/>
      <c r="C97" s="2009"/>
      <c r="D97" s="2009"/>
      <c r="E97" s="2009"/>
      <c r="F97" s="2009"/>
      <c r="G97" s="2009"/>
      <c r="H97" s="2009"/>
      <c r="I97" s="2009" t="s">
        <v>2370</v>
      </c>
      <c r="J97" s="2009"/>
      <c r="K97" s="2009"/>
      <c r="L97" s="2009"/>
      <c r="M97" s="2009"/>
      <c r="N97" s="2009"/>
      <c r="O97" s="2009" t="s">
        <v>2346</v>
      </c>
      <c r="P97" s="2009"/>
      <c r="Q97" s="2009"/>
      <c r="R97" s="2009"/>
      <c r="S97" s="2009"/>
      <c r="T97" s="2009"/>
      <c r="U97" s="2009"/>
      <c r="V97" s="2095" t="s">
        <v>2345</v>
      </c>
      <c r="W97" s="2095"/>
      <c r="X97" s="2095"/>
      <c r="Y97" s="2095"/>
      <c r="Z97" s="2095"/>
      <c r="AA97" s="2095"/>
      <c r="AB97" s="2096" t="s">
        <v>2369</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The Ridge at Ralston AGP LLC (CRP Affordable Housing and Community Development LLC)</v>
      </c>
      <c r="BR97" s="1259">
        <f>Application!AH254</f>
        <v>5.1000000000000004E-4</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8" t="s">
        <v>2368</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2367</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2374</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2366</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2371</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2370</v>
      </c>
      <c r="J108" s="2009"/>
      <c r="K108" s="2009"/>
      <c r="L108" s="2009"/>
      <c r="M108" s="2009"/>
      <c r="N108" s="2009"/>
      <c r="O108" s="2009" t="s">
        <v>2346</v>
      </c>
      <c r="P108" s="2009"/>
      <c r="Q108" s="2009"/>
      <c r="R108" s="2009"/>
      <c r="S108" s="2009"/>
      <c r="T108" s="2009"/>
      <c r="U108" s="2009"/>
      <c r="V108" s="2095" t="s">
        <v>2345</v>
      </c>
      <c r="W108" s="2095"/>
      <c r="X108" s="2095"/>
      <c r="Y108" s="2095"/>
      <c r="Z108" s="2095"/>
      <c r="AA108" s="2095"/>
      <c r="AB108" s="2096" t="s">
        <v>2369</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2368</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2367</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2366</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2364</v>
      </c>
      <c r="C117" s="2115"/>
      <c r="D117" s="2115"/>
      <c r="E117" s="2115"/>
      <c r="F117" s="2115"/>
      <c r="G117" s="2115"/>
      <c r="H117" s="2115"/>
      <c r="I117" s="2115"/>
      <c r="J117" s="2115"/>
      <c r="K117" s="2115"/>
      <c r="L117" s="2115"/>
      <c r="M117" s="2115"/>
      <c r="N117" s="2115"/>
      <c r="O117" s="2115"/>
      <c r="P117" s="2115"/>
      <c r="Q117" s="2115"/>
      <c r="R117" s="2115"/>
      <c r="S117" s="2115"/>
      <c r="T117" s="2115"/>
      <c r="U117" s="2118" t="s">
        <v>545</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2364</v>
      </c>
      <c r="C121" s="2123"/>
      <c r="D121" s="2123"/>
      <c r="E121" s="2123"/>
      <c r="F121" s="2123"/>
      <c r="G121" s="2123"/>
      <c r="H121" s="2123"/>
      <c r="I121" s="2123"/>
      <c r="J121" s="2123"/>
      <c r="K121" s="2123"/>
      <c r="L121" s="2123"/>
      <c r="M121" s="2123"/>
      <c r="N121" s="2123"/>
      <c r="O121" s="2123"/>
      <c r="P121" s="2123"/>
      <c r="Q121" s="2123"/>
      <c r="R121" s="2123"/>
      <c r="S121" s="2123"/>
      <c r="T121" s="2123"/>
      <c r="U121" s="2126" t="s">
        <v>545</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2362</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1576</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2361</v>
      </c>
      <c r="J127" s="2009"/>
      <c r="K127" s="2009"/>
      <c r="L127" s="2009"/>
      <c r="M127" s="2009"/>
      <c r="N127" s="2009"/>
      <c r="O127" s="2106" t="s">
        <v>2360</v>
      </c>
      <c r="P127" s="2106"/>
      <c r="Q127" s="2106"/>
      <c r="R127" s="2106"/>
      <c r="S127" s="2106"/>
      <c r="T127" s="2106"/>
      <c r="U127" s="2107"/>
      <c r="V127" s="1190"/>
      <c r="W127" s="1190"/>
      <c r="X127" s="2074" t="s">
        <v>2330</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2344</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2343</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2358</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2346</v>
      </c>
      <c r="J134" s="2152"/>
      <c r="K134" s="2152"/>
      <c r="L134" s="2152"/>
      <c r="M134" s="2152"/>
      <c r="N134" s="2152"/>
      <c r="O134" s="2152"/>
      <c r="P134" s="2152" t="s">
        <v>2345</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2344</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2343</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2357</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2356</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2355</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2354</v>
      </c>
      <c r="C142" s="2139"/>
      <c r="D142" s="2139"/>
      <c r="E142" s="2139"/>
      <c r="F142" s="2139"/>
      <c r="G142" s="2139"/>
      <c r="H142" s="2139"/>
      <c r="I142" s="2139"/>
      <c r="J142" s="2139"/>
      <c r="K142" s="2139"/>
      <c r="L142" s="2139"/>
      <c r="M142" s="2139"/>
      <c r="N142" s="2139"/>
      <c r="O142" s="2139"/>
      <c r="P142" s="2139"/>
      <c r="Q142" s="2139"/>
      <c r="R142" s="2140" t="s">
        <v>2353</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2352</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2349</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2348</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2346</v>
      </c>
      <c r="J157" s="2152"/>
      <c r="K157" s="2152"/>
      <c r="L157" s="2152"/>
      <c r="M157" s="2152"/>
      <c r="N157" s="2152"/>
      <c r="O157" s="2152"/>
      <c r="P157" s="2152" t="s">
        <v>2347</v>
      </c>
      <c r="Q157" s="2152"/>
      <c r="R157" s="2152"/>
      <c r="S157" s="2152"/>
      <c r="T157" s="2152"/>
      <c r="U157" s="2153"/>
      <c r="V157" s="1190"/>
      <c r="W157" s="1190"/>
      <c r="X157" s="2150"/>
      <c r="Y157" s="2151"/>
      <c r="Z157" s="2151"/>
      <c r="AA157" s="2151"/>
      <c r="AB157" s="2151"/>
      <c r="AC157" s="2151"/>
      <c r="AD157" s="2151"/>
      <c r="AE157" s="2152" t="s">
        <v>2346</v>
      </c>
      <c r="AF157" s="2152"/>
      <c r="AG157" s="2152"/>
      <c r="AH157" s="2152"/>
      <c r="AI157" s="2152"/>
      <c r="AJ157" s="2152"/>
      <c r="AK157" s="2152"/>
      <c r="AL157" s="2152" t="s">
        <v>2345</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2344</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2344</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2343</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2342</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2327</v>
      </c>
      <c r="D163" s="2151"/>
      <c r="E163" s="2151"/>
      <c r="F163" s="2151"/>
      <c r="G163" s="2151"/>
      <c r="H163" s="2151"/>
      <c r="I163" s="2151"/>
      <c r="J163" s="2151"/>
      <c r="K163" s="2151"/>
      <c r="L163" s="2151"/>
      <c r="M163" s="2151"/>
      <c r="N163" s="2151"/>
      <c r="O163" s="2151"/>
      <c r="P163" s="2151"/>
      <c r="Q163" s="2151" t="s">
        <v>2341</v>
      </c>
      <c r="R163" s="2151"/>
      <c r="S163" s="2151"/>
      <c r="T163" s="2096" t="s">
        <v>2340</v>
      </c>
      <c r="U163" s="2096"/>
      <c r="V163" s="2096"/>
      <c r="W163" s="2096"/>
      <c r="X163" s="2096"/>
      <c r="Y163" s="2096"/>
      <c r="Z163" s="2096"/>
      <c r="AA163" s="2096"/>
      <c r="AB163" s="2151" t="s">
        <v>2339</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2338</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2337</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2336</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2335</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2316</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2316</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2316</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2334</v>
      </c>
      <c r="D172" s="2055"/>
      <c r="E172" s="2055"/>
      <c r="F172" s="2055"/>
      <c r="G172" s="2055"/>
      <c r="H172" s="2055"/>
      <c r="I172" s="2055"/>
      <c r="J172" s="2055"/>
      <c r="K172" s="2055"/>
      <c r="L172" s="2055"/>
      <c r="M172" s="2055"/>
      <c r="N172" s="2105"/>
      <c r="O172" s="1190"/>
      <c r="P172" s="2170" t="s">
        <v>2333</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2332</v>
      </c>
      <c r="D173" s="2151"/>
      <c r="E173" s="2151"/>
      <c r="F173" s="2151"/>
      <c r="G173" s="2151"/>
      <c r="H173" s="2151"/>
      <c r="I173" s="2151" t="s">
        <v>2331</v>
      </c>
      <c r="J173" s="2151"/>
      <c r="K173" s="2151"/>
      <c r="L173" s="2151"/>
      <c r="M173" s="2151"/>
      <c r="N173" s="2159"/>
      <c r="O173" s="1190"/>
      <c r="P173" s="2074" t="s">
        <v>2330</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2329</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2327</v>
      </c>
      <c r="D184" s="2055"/>
      <c r="E184" s="2055"/>
      <c r="F184" s="2055"/>
      <c r="G184" s="2055"/>
      <c r="H184" s="2055"/>
      <c r="I184" s="2055"/>
      <c r="J184" s="2055"/>
      <c r="K184" s="2055"/>
      <c r="L184" s="2055"/>
      <c r="M184" s="2055"/>
      <c r="N184" s="2055" t="s">
        <v>2328</v>
      </c>
      <c r="O184" s="2055"/>
      <c r="P184" s="2055"/>
      <c r="Q184" s="2055"/>
      <c r="R184" s="2055"/>
      <c r="S184" s="2055"/>
      <c r="T184" s="2055"/>
      <c r="U184" s="2006" t="s">
        <v>2327</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2326</v>
      </c>
      <c r="D185" s="2179"/>
      <c r="E185" s="2179"/>
      <c r="F185" s="2179"/>
      <c r="G185" s="2179"/>
      <c r="H185" s="2179"/>
      <c r="I185" s="2179"/>
      <c r="J185" s="2179"/>
      <c r="K185" s="2179"/>
      <c r="L185" s="2179"/>
      <c r="M185" s="2179"/>
      <c r="N185" s="2180">
        <f>'Sources and Uses Budget'!B105</f>
        <v>57237817</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2325</v>
      </c>
      <c r="D186" s="2179"/>
      <c r="E186" s="2179"/>
      <c r="F186" s="2179"/>
      <c r="G186" s="2179"/>
      <c r="H186" s="2179"/>
      <c r="I186" s="2179"/>
      <c r="J186" s="2179"/>
      <c r="K186" s="2179"/>
      <c r="L186" s="2179"/>
      <c r="M186" s="2179"/>
      <c r="N186" s="2180">
        <f>N185/J29</f>
        <v>880581.8</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2324</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2323</v>
      </c>
      <c r="D188" s="2179"/>
      <c r="E188" s="2179"/>
      <c r="F188" s="2179"/>
      <c r="G188" s="2179"/>
      <c r="H188" s="2179"/>
      <c r="I188" s="2179"/>
      <c r="J188" s="2179"/>
      <c r="K188" s="2179"/>
      <c r="L188" s="2179"/>
      <c r="M188" s="2179"/>
      <c r="N188" s="2196">
        <f>SUM('Sources and Uses Budget'!B85:B86)</f>
        <v>2275000</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2322</v>
      </c>
      <c r="D189" s="2179"/>
      <c r="E189" s="2179"/>
      <c r="F189" s="2179"/>
      <c r="G189" s="2179"/>
      <c r="H189" s="2179"/>
      <c r="I189" s="2179"/>
      <c r="J189" s="2179"/>
      <c r="K189" s="2179"/>
      <c r="L189" s="2179"/>
      <c r="M189" s="2179"/>
      <c r="N189" s="2196">
        <f>'Sources and Uses Budget'!B8</f>
        <v>4650000</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2320</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2321</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2320</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2319</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2318</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2316</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2317</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2316</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2316</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2315</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2314</v>
      </c>
      <c r="D195" s="2218"/>
      <c r="E195" s="2218"/>
      <c r="F195" s="2218"/>
      <c r="G195" s="2218"/>
      <c r="H195" s="2218"/>
      <c r="I195" s="2218"/>
      <c r="J195" s="2218"/>
      <c r="K195" s="2218"/>
      <c r="L195" s="2218"/>
      <c r="M195" s="2218"/>
      <c r="N195" s="2219">
        <f>SUM(N187:T194)</f>
        <v>6925000</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2313</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2312</v>
      </c>
      <c r="D196" s="2228"/>
      <c r="E196" s="2228"/>
      <c r="F196" s="2228"/>
      <c r="G196" s="2228"/>
      <c r="H196" s="2228"/>
      <c r="I196" s="2228"/>
      <c r="J196" s="2228"/>
      <c r="K196" s="2228"/>
      <c r="L196" s="2228"/>
      <c r="M196" s="2228"/>
      <c r="N196" s="2229">
        <f>(N185-N195)/J29</f>
        <v>774043.33846153843</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2311</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2310</v>
      </c>
      <c r="D200" s="2254"/>
      <c r="E200" s="2254"/>
      <c r="F200" s="2254"/>
      <c r="G200" s="2254"/>
      <c r="H200" s="2254"/>
      <c r="I200" s="2254"/>
      <c r="J200" s="2254"/>
      <c r="K200" s="2254"/>
      <c r="L200" s="2254"/>
      <c r="M200" s="2254"/>
      <c r="N200" s="2254"/>
      <c r="O200" s="2255" t="s">
        <v>2309</v>
      </c>
      <c r="P200" s="2255"/>
      <c r="Q200" s="2255"/>
      <c r="R200" s="2255"/>
      <c r="S200" s="2255"/>
      <c r="T200" s="2255"/>
      <c r="U200" s="2255"/>
      <c r="V200" s="2255"/>
      <c r="W200" s="2255"/>
      <c r="X200" s="2255" t="s">
        <v>2308</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2307</v>
      </c>
      <c r="D201" s="2246"/>
      <c r="E201" s="2246"/>
      <c r="F201" s="2246"/>
      <c r="G201" s="2246"/>
      <c r="H201" s="2246"/>
      <c r="I201" s="2246"/>
      <c r="J201" s="2246"/>
      <c r="K201" s="2246"/>
      <c r="L201" s="2246"/>
      <c r="M201" s="2246"/>
      <c r="N201" s="2246"/>
      <c r="O201" s="2247" t="s">
        <v>2306</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854</v>
      </c>
      <c r="D202" s="2246"/>
      <c r="E202" s="2246"/>
      <c r="F202" s="2246"/>
      <c r="G202" s="2246"/>
      <c r="H202" s="2246"/>
      <c r="I202" s="2246"/>
      <c r="J202" s="2246"/>
      <c r="K202" s="2246"/>
      <c r="L202" s="2246"/>
      <c r="M202" s="2246"/>
      <c r="N202" s="2246"/>
      <c r="O202" s="2247" t="s">
        <v>2306</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2305</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2304</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2303</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2302</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2301</v>
      </c>
      <c r="D207" s="2261"/>
      <c r="E207" s="2261"/>
      <c r="F207" s="2262"/>
      <c r="G207" s="2266" t="s">
        <v>2300</v>
      </c>
      <c r="H207" s="2261"/>
      <c r="I207" s="2261"/>
      <c r="J207" s="2261"/>
      <c r="K207" s="2261"/>
      <c r="L207" s="2261"/>
      <c r="M207" s="2261"/>
      <c r="N207" s="2261"/>
      <c r="O207" s="2262"/>
      <c r="P207" s="2268" t="s">
        <v>2299</v>
      </c>
      <c r="Q207" s="2269"/>
      <c r="R207" s="2269"/>
      <c r="S207" s="2269"/>
      <c r="T207" s="2270"/>
      <c r="U207" s="2274" t="s">
        <v>2298</v>
      </c>
      <c r="V207" s="2275"/>
      <c r="W207" s="2275"/>
      <c r="X207" s="2276"/>
      <c r="Y207" s="2274" t="s">
        <v>2297</v>
      </c>
      <c r="Z207" s="2275"/>
      <c r="AA207" s="2275"/>
      <c r="AB207" s="2276"/>
      <c r="AC207" s="2274" t="s">
        <v>2296</v>
      </c>
      <c r="AD207" s="2275"/>
      <c r="AE207" s="2275"/>
      <c r="AF207" s="2276"/>
      <c r="AG207" s="2266" t="s">
        <v>2295</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1884</v>
      </c>
      <c r="H209" s="2287"/>
      <c r="I209" s="2287"/>
      <c r="J209" s="2287"/>
      <c r="K209" s="2287"/>
      <c r="L209" s="2287"/>
      <c r="M209" s="2287"/>
      <c r="N209" s="2287"/>
      <c r="O209" s="2287"/>
      <c r="P209" s="2288"/>
      <c r="Q209" s="2291"/>
      <c r="R209" s="2291"/>
      <c r="S209" s="2291"/>
      <c r="T209" s="2291"/>
      <c r="U209" s="2289" t="s">
        <v>1884</v>
      </c>
      <c r="V209" s="2289"/>
      <c r="W209" s="2289"/>
      <c r="X209" s="2289"/>
      <c r="Y209" s="2289" t="s">
        <v>1884</v>
      </c>
      <c r="Z209" s="2289"/>
      <c r="AA209" s="2289"/>
      <c r="AB209" s="2289"/>
      <c r="AC209" s="2290" t="s">
        <v>1884</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1884</v>
      </c>
      <c r="H210" s="2287"/>
      <c r="I210" s="2287"/>
      <c r="J210" s="2287"/>
      <c r="K210" s="2287"/>
      <c r="L210" s="2287"/>
      <c r="M210" s="2287"/>
      <c r="N210" s="2287"/>
      <c r="O210" s="2287"/>
      <c r="P210" s="2288"/>
      <c r="Q210" s="2288"/>
      <c r="R210" s="2288"/>
      <c r="S210" s="2288"/>
      <c r="T210" s="2288"/>
      <c r="U210" s="2289" t="s">
        <v>1884</v>
      </c>
      <c r="V210" s="2289"/>
      <c r="W210" s="2289"/>
      <c r="X210" s="2289"/>
      <c r="Y210" s="2289" t="s">
        <v>1884</v>
      </c>
      <c r="Z210" s="2289"/>
      <c r="AA210" s="2289"/>
      <c r="AB210" s="2289"/>
      <c r="AC210" s="2290" t="s">
        <v>1884</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1884</v>
      </c>
      <c r="H211" s="2287"/>
      <c r="I211" s="2287"/>
      <c r="J211" s="2287"/>
      <c r="K211" s="2287"/>
      <c r="L211" s="2287"/>
      <c r="M211" s="2287"/>
      <c r="N211" s="2287"/>
      <c r="O211" s="2287"/>
      <c r="P211" s="2288"/>
      <c r="Q211" s="2288"/>
      <c r="R211" s="2288"/>
      <c r="S211" s="2288"/>
      <c r="T211" s="2288"/>
      <c r="U211" s="2289" t="s">
        <v>1884</v>
      </c>
      <c r="V211" s="2289"/>
      <c r="W211" s="2289"/>
      <c r="X211" s="2289"/>
      <c r="Y211" s="2289" t="s">
        <v>1884</v>
      </c>
      <c r="Z211" s="2289"/>
      <c r="AA211" s="2289"/>
      <c r="AB211" s="2289"/>
      <c r="AC211" s="2290" t="s">
        <v>1884</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1884</v>
      </c>
      <c r="H212" s="2287"/>
      <c r="I212" s="2287"/>
      <c r="J212" s="2287"/>
      <c r="K212" s="2287"/>
      <c r="L212" s="2287"/>
      <c r="M212" s="2287"/>
      <c r="N212" s="2287"/>
      <c r="O212" s="2287"/>
      <c r="P212" s="2288"/>
      <c r="Q212" s="2288"/>
      <c r="R212" s="2288"/>
      <c r="S212" s="2288"/>
      <c r="T212" s="2288"/>
      <c r="U212" s="2289" t="s">
        <v>1884</v>
      </c>
      <c r="V212" s="2289"/>
      <c r="W212" s="2289"/>
      <c r="X212" s="2289"/>
      <c r="Y212" s="2289" t="s">
        <v>1884</v>
      </c>
      <c r="Z212" s="2289"/>
      <c r="AA212" s="2289"/>
      <c r="AB212" s="2289"/>
      <c r="AC212" s="2290" t="s">
        <v>1884</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1884</v>
      </c>
      <c r="H213" s="2287"/>
      <c r="I213" s="2287"/>
      <c r="J213" s="2287"/>
      <c r="K213" s="2287"/>
      <c r="L213" s="2287"/>
      <c r="M213" s="2287"/>
      <c r="N213" s="2287"/>
      <c r="O213" s="2287"/>
      <c r="P213" s="2288"/>
      <c r="Q213" s="2288"/>
      <c r="R213" s="2288"/>
      <c r="S213" s="2288"/>
      <c r="T213" s="2288"/>
      <c r="U213" s="2289" t="s">
        <v>1884</v>
      </c>
      <c r="V213" s="2289"/>
      <c r="W213" s="2289"/>
      <c r="X213" s="2289"/>
      <c r="Y213" s="2289" t="s">
        <v>1884</v>
      </c>
      <c r="Z213" s="2289"/>
      <c r="AA213" s="2289"/>
      <c r="AB213" s="2289"/>
      <c r="AC213" s="2290" t="s">
        <v>1884</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1884</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1884</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1884</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2294</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2292</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2291</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2290</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2289</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2287</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2286</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2285</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2284</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2283</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441</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2282</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2281</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3" zoomScaleNormal="100"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7" t="s">
        <v>1280</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2.9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49954088</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2.95" customHeight="1">
      <c r="B12" s="2353" t="s">
        <v>497</v>
      </c>
      <c r="C12" s="1286"/>
      <c r="D12" s="1286"/>
      <c r="E12" s="1286"/>
      <c r="F12" s="1286"/>
      <c r="G12" s="1286"/>
      <c r="H12" s="1286"/>
      <c r="I12" s="1286"/>
      <c r="J12" s="1286"/>
      <c r="K12" s="1286"/>
      <c r="L12" s="1286"/>
      <c r="M12" s="1286"/>
      <c r="N12" s="1286"/>
      <c r="O12" s="1286"/>
      <c r="P12" s="1286"/>
      <c r="Q12" s="1286"/>
      <c r="R12" s="1286"/>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2.95" customHeight="1">
      <c r="B13" s="435"/>
      <c r="C13" s="2355" t="s">
        <v>498</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2.95" customHeight="1">
      <c r="B14" s="435"/>
      <c r="C14" s="2355" t="s">
        <v>499</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2.95" customHeight="1">
      <c r="B15" s="435"/>
      <c r="C15" s="2355" t="s">
        <v>500</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2.95" customHeight="1">
      <c r="B16" s="435"/>
      <c r="C16" s="2355" t="s">
        <v>805</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2.95" customHeight="1">
      <c r="B17" s="435"/>
      <c r="C17" s="2355" t="s">
        <v>501</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2.95" customHeight="1">
      <c r="A18"/>
      <c r="B18" s="1150"/>
      <c r="C18" s="1811" t="s">
        <v>960</v>
      </c>
      <c r="D18" s="1811"/>
      <c r="E18" s="1811"/>
      <c r="F18" s="1811"/>
      <c r="G18" s="1811"/>
      <c r="H18" s="1811"/>
      <c r="I18" s="1811"/>
      <c r="J18" s="1811"/>
      <c r="K18" s="1811"/>
      <c r="L18" s="1811"/>
      <c r="M18" s="1811"/>
      <c r="N18" s="1811"/>
      <c r="O18" s="1811"/>
      <c r="P18" s="1811"/>
      <c r="Q18" s="1811"/>
      <c r="R18" s="1811"/>
      <c r="S18" s="1812"/>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2.95" customHeight="1">
      <c r="B19" s="1150"/>
      <c r="C19" s="1811" t="s">
        <v>960</v>
      </c>
      <c r="D19" s="1811"/>
      <c r="E19" s="1811"/>
      <c r="F19" s="1811"/>
      <c r="G19" s="1811"/>
      <c r="H19" s="1811"/>
      <c r="I19" s="1811"/>
      <c r="J19" s="1811"/>
      <c r="K19" s="1811"/>
      <c r="L19" s="1811"/>
      <c r="M19" s="1811"/>
      <c r="N19" s="1811"/>
      <c r="O19" s="1811"/>
      <c r="P19" s="1811"/>
      <c r="Q19" s="1811"/>
      <c r="R19" s="1811"/>
      <c r="S19" s="1812"/>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2.95" customHeight="1">
      <c r="B20" s="2338" t="s">
        <v>502</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2.95" customHeight="1">
      <c r="B21" s="2338" t="s">
        <v>1263</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2.95" customHeight="1">
      <c r="B22" s="2338" t="s">
        <v>503</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38" t="s">
        <v>504</v>
      </c>
      <c r="C23" s="2339"/>
      <c r="D23" s="2339"/>
      <c r="E23" s="2339"/>
      <c r="F23" s="2339"/>
      <c r="G23" s="2339"/>
      <c r="H23" s="2339"/>
      <c r="I23" s="2339"/>
      <c r="J23" s="2339"/>
      <c r="K23" s="2339"/>
      <c r="L23" s="2339"/>
      <c r="M23" s="2339"/>
      <c r="N23" s="2339"/>
      <c r="O23" s="2339"/>
      <c r="P23" s="2339"/>
      <c r="Q23" s="2339"/>
      <c r="R23" s="2339"/>
      <c r="S23" s="2340"/>
      <c r="T23" s="2331">
        <f>T11+T22</f>
        <v>49954088</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2.95" customHeight="1">
      <c r="B24" s="2338" t="s">
        <v>961</v>
      </c>
      <c r="C24" s="2339"/>
      <c r="D24" s="2339"/>
      <c r="E24" s="2339"/>
      <c r="F24" s="2339"/>
      <c r="G24" s="2339"/>
      <c r="H24" s="2339"/>
      <c r="I24" s="2339"/>
      <c r="J24" s="2339"/>
      <c r="K24" s="2339"/>
      <c r="L24" s="2339"/>
      <c r="M24" s="2339"/>
      <c r="N24" s="2339"/>
      <c r="O24" s="2339"/>
      <c r="P24" s="2339"/>
      <c r="Q24" s="2339"/>
      <c r="R24" s="2339"/>
      <c r="S24" s="2340"/>
      <c r="T24" s="2333">
        <f>Application!AJ1053</f>
        <v>133602897</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2.95" customHeight="1">
      <c r="B25" s="2342" t="s">
        <v>1264</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38" t="s">
        <v>505</v>
      </c>
      <c r="C26" s="2339"/>
      <c r="D26" s="2339"/>
      <c r="E26" s="2339"/>
      <c r="F26" s="2339"/>
      <c r="G26" s="2339"/>
      <c r="H26" s="2339"/>
      <c r="I26" s="2339"/>
      <c r="J26" s="2339"/>
      <c r="K26" s="2339"/>
      <c r="L26" s="2339"/>
      <c r="M26" s="2339"/>
      <c r="N26" s="2339"/>
      <c r="O26" s="2339"/>
      <c r="P26" s="2339"/>
      <c r="Q26" s="2339"/>
      <c r="R26" s="2339"/>
      <c r="S26" s="2340"/>
      <c r="T26" s="2331">
        <f>T23*T25</f>
        <v>64940314.399999999</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2.95"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2.95" customHeight="1">
      <c r="A28" s="404"/>
      <c r="B28" s="2338" t="s">
        <v>506</v>
      </c>
      <c r="C28" s="2339"/>
      <c r="D28" s="2339"/>
      <c r="E28" s="2339"/>
      <c r="F28" s="2339"/>
      <c r="G28" s="2339"/>
      <c r="H28" s="2339"/>
      <c r="I28" s="2339"/>
      <c r="J28" s="2339"/>
      <c r="K28" s="2339"/>
      <c r="L28" s="2339"/>
      <c r="M28" s="2339"/>
      <c r="N28" s="2339"/>
      <c r="O28" s="2339"/>
      <c r="P28" s="2339"/>
      <c r="Q28" s="2339"/>
      <c r="R28" s="2339"/>
      <c r="S28" s="2340"/>
      <c r="T28" s="2331">
        <f>IF(ISERROR((T26*T27)),0,(T26*T27))</f>
        <v>64940314.399999999</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2.95" customHeight="1">
      <c r="B29" s="2338" t="s">
        <v>523</v>
      </c>
      <c r="C29" s="2339"/>
      <c r="D29" s="2339"/>
      <c r="E29" s="2339"/>
      <c r="F29" s="2339"/>
      <c r="G29" s="2339"/>
      <c r="H29" s="2339"/>
      <c r="I29" s="2339"/>
      <c r="J29" s="2339"/>
      <c r="K29" s="2339"/>
      <c r="L29" s="2339"/>
      <c r="M29" s="2339"/>
      <c r="N29" s="2339"/>
      <c r="O29" s="2339"/>
      <c r="P29" s="2339"/>
      <c r="Q29" s="2339"/>
      <c r="R29" s="2339"/>
      <c r="S29" s="2340"/>
      <c r="T29" s="2333">
        <f>T28+Y28+AD28+AI28</f>
        <v>64940314.399999999</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2.95" customHeight="1">
      <c r="B30" s="2341" t="s">
        <v>1266</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2.95" customHeight="1">
      <c r="B31" s="2341" t="s">
        <v>1265</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1154</v>
      </c>
      <c r="Z35" s="2359"/>
      <c r="AA35" s="2359"/>
      <c r="AB35" s="2359"/>
      <c r="AC35" s="2359"/>
      <c r="AD35" s="2379" t="s">
        <v>369</v>
      </c>
      <c r="AE35" s="2379"/>
      <c r="AF35" s="2379"/>
      <c r="AG35" s="2379"/>
      <c r="AH35" s="2379"/>
    </row>
    <row r="36" spans="1:76" ht="12.95" customHeight="1">
      <c r="B36" s="407"/>
      <c r="X36" s="412"/>
      <c r="Y36" s="2359"/>
      <c r="Z36" s="2359"/>
      <c r="AA36" s="2359"/>
      <c r="AB36" s="2359"/>
      <c r="AC36" s="2359"/>
      <c r="AD36" s="2379"/>
      <c r="AE36" s="2379"/>
      <c r="AF36" s="2379"/>
      <c r="AG36" s="2379"/>
      <c r="AH36" s="237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2.95" customHeight="1">
      <c r="A38" s="404"/>
      <c r="B38" s="2338" t="s">
        <v>506</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64940314.399999999</v>
      </c>
      <c r="Z38" s="2332"/>
      <c r="AA38" s="2332"/>
      <c r="AB38" s="2332"/>
      <c r="AC38" s="2332"/>
      <c r="AD38" s="2332">
        <f>IF(T24&gt;=(T23+Y23+AD23+AI23),AD28+AI28,0)</f>
        <v>0</v>
      </c>
      <c r="AE38" s="2332"/>
      <c r="AF38" s="2332"/>
      <c r="AG38" s="2332"/>
      <c r="AH38" s="2332"/>
    </row>
    <row r="39" spans="1:76" ht="12.95"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2.95"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2597613</v>
      </c>
      <c r="Z40" s="2332"/>
      <c r="AA40" s="2332"/>
      <c r="AB40" s="2332"/>
      <c r="AC40" s="2332"/>
      <c r="AD40" s="2331">
        <f>ROUND(AD38*AD39,0)</f>
        <v>0</v>
      </c>
      <c r="AE40" s="2332"/>
      <c r="AF40" s="2332"/>
      <c r="AG40" s="2332"/>
      <c r="AH40" s="2332"/>
    </row>
    <row r="41" spans="1:76" ht="12.95"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2597613</v>
      </c>
      <c r="Z41" s="2334"/>
      <c r="AA41" s="2334"/>
      <c r="AB41" s="2334"/>
      <c r="AC41" s="2334"/>
      <c r="AD41" s="2334"/>
      <c r="AE41" s="2334"/>
      <c r="AF41" s="2334"/>
      <c r="AG41" s="2334"/>
      <c r="AH41" s="233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6" t="s">
        <v>1276</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2.95" customHeight="1" thickTop="1"/>
    <row r="46" spans="1:76" ht="12.95" customHeight="1">
      <c r="A46" s="404" t="s">
        <v>586</v>
      </c>
      <c r="C46" s="404" t="s">
        <v>282</v>
      </c>
    </row>
    <row r="47" spans="1:76" ht="12.95" customHeight="1">
      <c r="D47" s="404" t="s">
        <v>283</v>
      </c>
      <c r="AB47" s="2348">
        <f>'Sources and Uses Budget'!B105-MAX(IF('Sources and Uses Budget'!B15="",0,'Sources and Uses Budget'!B15),IF(Application!AG394="",0,Application!AG394))</f>
        <v>57237817</v>
      </c>
      <c r="AC47" s="2349"/>
      <c r="AD47" s="2349"/>
      <c r="AE47" s="2349"/>
      <c r="AF47" s="2350"/>
    </row>
    <row r="48" spans="1:76" ht="12.95" customHeight="1">
      <c r="D48" s="404" t="s">
        <v>21</v>
      </c>
      <c r="AB48" s="2348">
        <f>Application!AO639-MAX(IF('Sources and Uses Budget'!B15="",0,'Sources and Uses Budget'!B15),IF(Application!AG394="",0,Application!AG394))</f>
        <v>31058994</v>
      </c>
      <c r="AC48" s="2349"/>
      <c r="AD48" s="2349"/>
      <c r="AE48" s="2349"/>
      <c r="AF48" s="2350"/>
    </row>
    <row r="49" spans="1:76" ht="12.95" customHeight="1">
      <c r="D49" s="404" t="s">
        <v>91</v>
      </c>
      <c r="AB49" s="2348">
        <f>AB47-AB48</f>
        <v>26178823</v>
      </c>
      <c r="AC49" s="2349"/>
      <c r="AD49" s="2349"/>
      <c r="AE49" s="2349"/>
      <c r="AF49" s="2350"/>
    </row>
    <row r="50" spans="1:76" ht="12.95" customHeight="1">
      <c r="D50" s="404" t="s">
        <v>681</v>
      </c>
      <c r="AA50" s="415"/>
      <c r="AB50" s="2375">
        <v>0.799919887989473</v>
      </c>
      <c r="AC50" s="2376"/>
      <c r="AD50" s="2376"/>
      <c r="AE50" s="2376"/>
      <c r="AF50" s="2377"/>
    </row>
    <row r="51" spans="1:76" s="417" customFormat="1" ht="12.95" customHeight="1">
      <c r="A51" s="402"/>
      <c r="B51" s="402"/>
      <c r="C51" s="402"/>
      <c r="D51" s="402"/>
      <c r="E51" s="2378" t="s">
        <v>2611</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32726806</v>
      </c>
      <c r="AC54" s="2349"/>
      <c r="AD54" s="2349"/>
      <c r="AE54" s="2349"/>
      <c r="AF54" s="2350"/>
    </row>
    <row r="55" spans="1:76" ht="12.95" customHeight="1">
      <c r="D55" s="404" t="s">
        <v>333</v>
      </c>
      <c r="AB55" s="2348">
        <f>(AB54/10)</f>
        <v>3272680.6</v>
      </c>
      <c r="AC55" s="2349"/>
      <c r="AD55" s="2349"/>
      <c r="AE55" s="2349"/>
      <c r="AF55" s="2350"/>
    </row>
    <row r="56" spans="1:76" ht="12.95" customHeight="1">
      <c r="D56" s="404" t="s">
        <v>756</v>
      </c>
      <c r="AB56" s="2348">
        <f>ROUND((IF((Y41&lt;AB55),Y41,AB55)),0)</f>
        <v>2597613</v>
      </c>
      <c r="AC56" s="2349"/>
      <c r="AD56" s="2349"/>
      <c r="AE56" s="2349"/>
      <c r="AF56" s="2350"/>
    </row>
    <row r="57" spans="1:76" ht="12.95" customHeight="1">
      <c r="D57" s="404" t="s">
        <v>755</v>
      </c>
      <c r="AB57" s="2348">
        <f>ROUND((10*AB56*AB50),0)</f>
        <v>20778823</v>
      </c>
      <c r="AC57" s="2349"/>
      <c r="AD57" s="2349"/>
      <c r="AE57" s="2349"/>
      <c r="AF57" s="2350"/>
    </row>
    <row r="58" spans="1:76" ht="12.95" customHeight="1">
      <c r="D58" s="404"/>
      <c r="AB58" s="423"/>
      <c r="AC58" s="423"/>
      <c r="AD58" s="423"/>
      <c r="AE58" s="423"/>
      <c r="AF58" s="423"/>
    </row>
    <row r="59" spans="1:76" ht="12.95" customHeight="1">
      <c r="D59" s="404" t="s">
        <v>754</v>
      </c>
      <c r="AB59" s="2371">
        <f>AB49-AB57</f>
        <v>5400000</v>
      </c>
      <c r="AC59" s="2371"/>
      <c r="AD59" s="2371"/>
      <c r="AE59" s="2371"/>
      <c r="AF59" s="2371"/>
    </row>
    <row r="60" spans="1:76" ht="12.95" customHeight="1">
      <c r="D60" s="404"/>
      <c r="AB60" s="423"/>
      <c r="AC60" s="423"/>
      <c r="AD60" s="423"/>
      <c r="AE60" s="423"/>
      <c r="AF60" s="423"/>
    </row>
    <row r="61" spans="1:76" s="204" customFormat="1" ht="12.95"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2.95" customHeight="1" thickTop="1"/>
    <row r="63" spans="1:76" ht="12.95" customHeight="1">
      <c r="A63" s="404" t="s">
        <v>589</v>
      </c>
      <c r="C63" s="205" t="s">
        <v>1248</v>
      </c>
      <c r="Y63" s="2372" t="s">
        <v>984</v>
      </c>
      <c r="Z63" s="2372"/>
      <c r="AA63" s="2372"/>
      <c r="AB63" s="2372"/>
      <c r="AC63" s="2372"/>
      <c r="AD63" s="2372" t="s">
        <v>369</v>
      </c>
      <c r="AE63" s="2372"/>
      <c r="AF63" s="2372"/>
      <c r="AG63" s="2372"/>
      <c r="AH63" s="237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49954088</v>
      </c>
      <c r="Z64" s="2373"/>
      <c r="AA64" s="2373"/>
      <c r="AB64" s="2373"/>
      <c r="AC64" s="2374"/>
      <c r="AD64" s="2333">
        <f>IF(AND(OR(Application!D211="At-Risk",Application!D211="At-Risk and Special Needs"),Application!M358="yes"),AD28+AI28,0)</f>
        <v>0</v>
      </c>
      <c r="AE64" s="2373"/>
      <c r="AF64" s="2373"/>
      <c r="AG64" s="2373"/>
      <c r="AH64" s="237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f>IF(OR(Application!Z205="State Farmworker Credit",Application!Z205="$500M (Farmworker Housing)"),0.75,IF(Application!Z205="15% set-aside",0.13,IF(Application!Z205="15% set-aside with qualifying low value rehab",0.95,IF(Application!Z205="$500M",0.3,0))))</f>
        <v>0.3</v>
      </c>
      <c r="Z67" s="2386"/>
      <c r="AA67" s="2386"/>
      <c r="AB67" s="2386"/>
      <c r="AC67" s="2386"/>
      <c r="AD67" s="2386">
        <f>IF(Application!Z205="15% set-aside with qualifying low value rehab", 0.95,IF(OR(Application!D211="At-Risk",'Points System'!B13="Yes"),0.13,0))</f>
        <v>0</v>
      </c>
      <c r="AE67" s="2386"/>
      <c r="AF67" s="2386"/>
      <c r="AG67" s="2386"/>
      <c r="AH67" s="2386"/>
    </row>
    <row r="68" spans="1:36" ht="12.95" customHeight="1">
      <c r="C68" s="404"/>
      <c r="D68" s="205" t="s">
        <v>2224</v>
      </c>
      <c r="Y68" s="2332">
        <f>ROUND(Y64*Y67,0)</f>
        <v>14986226</v>
      </c>
      <c r="Z68" s="2387"/>
      <c r="AA68" s="2387"/>
      <c r="AB68" s="2387"/>
      <c r="AC68" s="2387"/>
      <c r="AD68" s="2332">
        <f>ROUND(AD64*AD67,0)</f>
        <v>0</v>
      </c>
      <c r="AE68" s="2387"/>
      <c r="AF68" s="2387"/>
      <c r="AG68" s="2387"/>
      <c r="AH68" s="2387"/>
    </row>
    <row r="69" spans="1:36" ht="12.95" customHeight="1">
      <c r="C69" s="404"/>
      <c r="D69" s="205" t="s">
        <v>2225</v>
      </c>
      <c r="Y69" s="2332">
        <f>IF(OR(Application!Z205="State Farmworker Credit",Application!Z205="$500M (Farmworker Housing)"),Y68+AD68,MIN(Y68+AD68,200000*(Application!G753+Application!O777)))</f>
        <v>13000000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75">
        <v>0.9</v>
      </c>
      <c r="AC72" s="2376"/>
      <c r="AD72" s="2376"/>
      <c r="AE72" s="2376"/>
      <c r="AF72" s="2377"/>
    </row>
    <row r="73" spans="1:36" ht="12.95" customHeight="1">
      <c r="A73" s="404"/>
      <c r="C73" s="404"/>
      <c r="D73" s="404"/>
      <c r="E73" s="2388" t="s">
        <v>1251</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2.95"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2.95"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1">
        <f>ROUND(IF(ISERROR((AB59/AB72)),0,(AB59/AB72)),0)</f>
        <v>6000000</v>
      </c>
      <c r="AC77" s="2381"/>
      <c r="AD77" s="2381"/>
      <c r="AE77" s="2381"/>
      <c r="AF77" s="2381"/>
    </row>
    <row r="78" spans="1:36" ht="12.95" customHeight="1">
      <c r="C78" s="404"/>
      <c r="D78" s="205" t="s">
        <v>1253</v>
      </c>
      <c r="AB78" s="2382">
        <f>ROUNDUP(MIN(Y69,AB77),0)</f>
        <v>6000000</v>
      </c>
      <c r="AC78" s="2383"/>
      <c r="AD78" s="2383"/>
      <c r="AE78" s="2383"/>
      <c r="AF78" s="2384"/>
    </row>
    <row r="79" spans="1:36" ht="12.95" customHeight="1">
      <c r="C79" s="404"/>
      <c r="D79" s="205" t="s">
        <v>1254</v>
      </c>
      <c r="AB79" s="2385">
        <f>AB78*AB72</f>
        <v>5400000</v>
      </c>
      <c r="AC79" s="2385"/>
      <c r="AD79" s="2385"/>
      <c r="AE79" s="2385"/>
      <c r="AF79" s="2385"/>
    </row>
    <row r="80" spans="1:36" ht="12.95" customHeight="1">
      <c r="C80" s="404"/>
      <c r="D80" s="404"/>
      <c r="AB80" s="425"/>
      <c r="AC80" s="425"/>
      <c r="AD80" s="425"/>
      <c r="AE80" s="425"/>
      <c r="AF80" s="425"/>
    </row>
    <row r="81" spans="1:78" ht="12.95" customHeight="1">
      <c r="D81" s="404" t="s">
        <v>754</v>
      </c>
      <c r="AB81" s="2371">
        <f>AB49-(AB57+AB79)</f>
        <v>0</v>
      </c>
      <c r="AC81" s="2371"/>
      <c r="AD81" s="2371"/>
      <c r="AE81" s="2371"/>
      <c r="AF81" s="2371"/>
    </row>
    <row r="82" spans="1:78" ht="12.95" customHeight="1">
      <c r="F82" s="522"/>
      <c r="J82" s="522" t="str">
        <f>IF(AB81&gt;0,"FUNDING GAP MUST NOT EXCEED ZERO","")</f>
        <v/>
      </c>
    </row>
    <row r="83" spans="1:78" ht="12.95" customHeight="1">
      <c r="D83" s="523"/>
    </row>
    <row r="84" spans="1:78" ht="12.95"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2.95" customHeight="1" thickTop="1"/>
    <row r="86" spans="1:78" ht="12.95" customHeight="1">
      <c r="A86" s="404"/>
      <c r="C86" s="205"/>
    </row>
    <row r="87" spans="1:78" ht="12.95" customHeight="1">
      <c r="D87" s="205"/>
      <c r="AB87" s="2337"/>
      <c r="AC87" s="2337"/>
      <c r="AD87" s="2337"/>
      <c r="AE87" s="2337"/>
      <c r="AF87" s="2337"/>
    </row>
    <row r="88" spans="1:78" ht="12.95"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C400" sqref="C4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9" t="s">
        <v>1300</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1305</v>
      </c>
      <c r="AF7" s="2460"/>
      <c r="AG7" s="2460"/>
      <c r="AH7" s="2460"/>
      <c r="AI7" s="2460"/>
      <c r="AJ7" s="2460"/>
      <c r="AK7" s="246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591</v>
      </c>
      <c r="C13" s="261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591</v>
      </c>
      <c r="C16" s="2613"/>
      <c r="D16" s="547"/>
      <c r="E16" s="2605" t="s">
        <v>1307</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591</v>
      </c>
      <c r="C22" s="2613"/>
      <c r="D22" s="547"/>
      <c r="E22" s="2623" t="s">
        <v>1310</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591</v>
      </c>
      <c r="C25" s="2613"/>
      <c r="D25" s="547"/>
      <c r="E25" s="2540" t="s">
        <v>2033</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591</v>
      </c>
      <c r="C28" s="2613"/>
      <c r="D28" s="547"/>
      <c r="E28" s="2642" t="s">
        <v>2248</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3" t="s">
        <v>591</v>
      </c>
      <c r="C33" s="2613"/>
      <c r="D33" s="547"/>
      <c r="E33" s="2623" t="s">
        <v>2250</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591</v>
      </c>
      <c r="C36" s="2613"/>
      <c r="D36" s="547"/>
      <c r="E36" s="2540" t="s">
        <v>2251</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591</v>
      </c>
      <c r="C40" s="2613"/>
      <c r="D40" s="547"/>
      <c r="E40" s="2540" t="s">
        <v>2249</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591</v>
      </c>
      <c r="C45" s="2613"/>
      <c r="D45" s="1142"/>
      <c r="E45" s="2540" t="s">
        <v>2008</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591</v>
      </c>
      <c r="C52" s="2613"/>
      <c r="D52" s="540"/>
      <c r="E52" s="2540" t="s">
        <v>2013</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591</v>
      </c>
      <c r="C56" s="2613"/>
      <c r="D56" s="540"/>
      <c r="E56" s="2639" t="s">
        <v>2014</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591</v>
      </c>
      <c r="C58" s="2613"/>
      <c r="D58" s="540"/>
      <c r="E58" s="2540" t="s">
        <v>2015</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1314</v>
      </c>
      <c r="AF65" s="2460"/>
      <c r="AG65" s="2460"/>
      <c r="AH65" s="2460"/>
      <c r="AI65" s="2460"/>
      <c r="AJ65" s="2460"/>
      <c r="AK65" s="246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545</v>
      </c>
      <c r="C68" s="2613"/>
      <c r="D68" s="547" t="s">
        <v>1315</v>
      </c>
      <c r="E68" s="2605" t="s">
        <v>2016</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10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1316</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591</v>
      </c>
      <c r="C74" s="261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591</v>
      </c>
      <c r="F75" s="261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591</v>
      </c>
      <c r="F76" s="263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591</v>
      </c>
      <c r="F77" s="263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591</v>
      </c>
      <c r="F79" s="261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591</v>
      </c>
      <c r="C81" s="2613"/>
      <c r="D81" s="547" t="s">
        <v>1320</v>
      </c>
      <c r="E81" s="2540" t="s">
        <v>1740</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1305</v>
      </c>
      <c r="AF87" s="2460"/>
      <c r="AG87" s="2460"/>
      <c r="AH87" s="2460"/>
      <c r="AI87" s="2460"/>
      <c r="AJ87" s="2460"/>
      <c r="AK87" s="246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591</v>
      </c>
      <c r="C90" s="2613"/>
      <c r="D90" s="547" t="s">
        <v>1315</v>
      </c>
      <c r="E90" s="2605" t="s">
        <v>1325</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0.484375</v>
      </c>
      <c r="F93" s="2602"/>
      <c r="G93" s="2602"/>
      <c r="H93" s="260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0.10999999999999999</v>
      </c>
      <c r="F94" s="2407"/>
      <c r="G94" s="2407"/>
      <c r="H94" s="240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20</v>
      </c>
      <c r="F95" s="2618"/>
      <c r="G95" s="2618"/>
      <c r="H95" s="261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545</v>
      </c>
      <c r="C98" s="2613"/>
      <c r="D98" s="547" t="s">
        <v>1317</v>
      </c>
      <c r="E98" s="2605" t="s">
        <v>1725</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0.484375</v>
      </c>
      <c r="F103" s="2602"/>
      <c r="G103" s="2602"/>
      <c r="H103" s="260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0.265625</v>
      </c>
      <c r="F104" s="2602"/>
      <c r="G104" s="2602"/>
      <c r="H104" s="260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0.546875</v>
      </c>
      <c r="F105" s="2602"/>
      <c r="G105" s="2602"/>
      <c r="H105" s="260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6">
        <f ca="1">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1314</v>
      </c>
      <c r="AF112" s="2460"/>
      <c r="AG112" s="2460"/>
      <c r="AH112" s="2460"/>
      <c r="AI112" s="2460"/>
      <c r="AJ112" s="2460"/>
      <c r="AK112" s="2460"/>
      <c r="AL112" s="540"/>
      <c r="AM112" s="540"/>
      <c r="AN112" s="535"/>
      <c r="AO112" s="536" t="str">
        <f>Application!B718</f>
        <v>1 Bedroom</v>
      </c>
      <c r="AQ112" s="536">
        <f>Application!O718</f>
        <v>2453</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1727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276.60000000000002</v>
      </c>
    </row>
    <row r="115" spans="1:52" s="536" customFormat="1" ht="12.75" customHeight="1">
      <c r="A115" s="540"/>
      <c r="B115" s="2613" t="s">
        <v>545</v>
      </c>
      <c r="C115" s="2613"/>
      <c r="D115" s="547" t="s">
        <v>1315</v>
      </c>
      <c r="E115" s="2605" t="s">
        <v>1857</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2 Bedrooms</v>
      </c>
      <c r="AQ115" s="536">
        <f>Application!O721</f>
        <v>2927.4</v>
      </c>
      <c r="AU115" s="536" t="s">
        <v>1840</v>
      </c>
      <c r="AV115" s="595" t="s">
        <v>1841</v>
      </c>
      <c r="AW115" s="536" t="s">
        <v>1842</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2 Bedrooms</v>
      </c>
      <c r="AQ116" s="536">
        <f>Application!O722</f>
        <v>2057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t="str">
        <f>Application!B723</f>
        <v>2 Bedrooms</v>
      </c>
      <c r="AQ117" s="536">
        <f>Application!O723</f>
        <v>158.1</v>
      </c>
      <c r="AU117" s="856" t="str">
        <f>J124</f>
        <v>1-bedroom</v>
      </c>
      <c r="AV117" s="536">
        <f t="array" ref="AV117">SUM(IF(Application!B718:F752="1 Bedroom",Application!G718:J752))</f>
        <v>30</v>
      </c>
      <c r="AW117" s="1011">
        <f>AV117/AV122</f>
        <v>0.46875</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t="str">
        <f>Application!B724</f>
        <v>3 Bedrooms</v>
      </c>
      <c r="AQ118" s="536">
        <f>Application!O724</f>
        <v>3362.6</v>
      </c>
      <c r="AU118" s="856" t="str">
        <f>O124</f>
        <v>2-bedroom</v>
      </c>
      <c r="AV118" s="536">
        <f t="array" ref="AV118">SUM(IF(Application!B718:F752="2 Bedrooms",Application!G718:J752))</f>
        <v>18</v>
      </c>
      <c r="AW118" s="1011">
        <f>AV118/AV122</f>
        <v>0.28125</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t="str">
        <f>Application!B725</f>
        <v>3 Bedrooms</v>
      </c>
      <c r="AQ119" s="536">
        <f>Application!O725</f>
        <v>2357</v>
      </c>
      <c r="AU119" s="856" t="str">
        <f>T124</f>
        <v>3-bedroom</v>
      </c>
      <c r="AV119" s="536">
        <f t="array" ref="AV119">SUM(IF(Application!B718:F752="3 Bedrooms",Application!G718:J752))</f>
        <v>16</v>
      </c>
      <c r="AW119" s="1011">
        <f>AV119/AV122</f>
        <v>0.25</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t="str">
        <f>Application!B726</f>
        <v>3 Bedrooms</v>
      </c>
      <c r="AQ120" s="536">
        <f>Application!O726</f>
        <v>172.9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f>Application!B728</f>
        <v>0</v>
      </c>
      <c r="AQ122" s="536">
        <f>Application!O728</f>
        <v>0</v>
      </c>
      <c r="AV122" s="536">
        <f>SUM(AV116:AV121)</f>
        <v>64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1" t="s">
        <v>1588</v>
      </c>
      <c r="F124" s="2602"/>
      <c r="G124" s="2602"/>
      <c r="H124" s="2602"/>
      <c r="I124" s="577"/>
      <c r="J124" s="2602" t="s">
        <v>1631</v>
      </c>
      <c r="K124" s="2602"/>
      <c r="L124" s="2602"/>
      <c r="M124" s="2602"/>
      <c r="N124" s="577"/>
      <c r="O124" s="2602" t="s">
        <v>1632</v>
      </c>
      <c r="P124" s="2602"/>
      <c r="Q124" s="2602"/>
      <c r="R124" s="2602"/>
      <c r="S124" s="577"/>
      <c r="T124" s="2602" t="s">
        <v>1334</v>
      </c>
      <c r="U124" s="2602"/>
      <c r="V124" s="2602"/>
      <c r="W124" s="2602"/>
      <c r="X124" s="577"/>
      <c r="Y124" s="2602" t="s">
        <v>1633</v>
      </c>
      <c r="Z124" s="2602"/>
      <c r="AA124" s="2602"/>
      <c r="AB124" s="2602"/>
      <c r="AC124" s="577"/>
      <c r="AD124" s="2602" t="s">
        <v>1634</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c r="F127" s="2604"/>
      <c r="G127" s="2604"/>
      <c r="H127" s="2604"/>
      <c r="I127" s="864"/>
      <c r="J127" s="2604">
        <v>3341</v>
      </c>
      <c r="K127" s="2604"/>
      <c r="L127" s="2604"/>
      <c r="M127" s="2604"/>
      <c r="N127" s="864"/>
      <c r="O127" s="2604">
        <v>4503</v>
      </c>
      <c r="P127" s="2604"/>
      <c r="Q127" s="2604"/>
      <c r="R127" s="2604"/>
      <c r="S127" s="864"/>
      <c r="T127" s="2604">
        <v>5396</v>
      </c>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0</v>
      </c>
      <c r="F130" s="2612"/>
      <c r="G130" s="2612"/>
      <c r="H130" s="2612"/>
      <c r="I130" s="864"/>
      <c r="J130" s="2612">
        <f>Application!EC670</f>
        <v>1291.9866666666667</v>
      </c>
      <c r="K130" s="2612"/>
      <c r="L130" s="2612"/>
      <c r="M130" s="2612"/>
      <c r="N130" s="864"/>
      <c r="O130" s="2612">
        <f>Application!EH670</f>
        <v>1933.9388888888889</v>
      </c>
      <c r="P130" s="2612"/>
      <c r="Q130" s="2612"/>
      <c r="R130" s="2612"/>
      <c r="S130" s="868"/>
      <c r="T130" s="2612">
        <f>Application!EM670</f>
        <v>2198.8812499999999</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t="e">
        <f>(E127-E130)/E127</f>
        <v>#DIV/0!</v>
      </c>
      <c r="F133" s="2407"/>
      <c r="G133" s="2407"/>
      <c r="H133" s="2408"/>
      <c r="I133" s="577"/>
      <c r="J133" s="2406">
        <f>(J127-J130)/J127</f>
        <v>0.61329342512221885</v>
      </c>
      <c r="K133" s="2407"/>
      <c r="L133" s="2407"/>
      <c r="M133" s="2408"/>
      <c r="N133" s="577"/>
      <c r="O133" s="2406">
        <f>(O127-O130)/O127</f>
        <v>0.57052212105509903</v>
      </c>
      <c r="P133" s="2407"/>
      <c r="Q133" s="2407"/>
      <c r="R133" s="2408"/>
      <c r="S133" s="577"/>
      <c r="T133" s="2406">
        <f>(T127-T130)/T127</f>
        <v>0.59249791512231287</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t="e">
        <f>IF(((E133-0.1)*AW116)&gt;0,((E133-0.1)*AW116),0)</f>
        <v>#DIV/0!</v>
      </c>
      <c r="F136" s="2615"/>
      <c r="G136" s="2615"/>
      <c r="H136" s="2616"/>
      <c r="I136" s="577"/>
      <c r="J136" s="2614">
        <f>IF(((J133-0.1)*AW117)&gt;0,((J133-0.1)*AW117),0)</f>
        <v>0.24060629302604009</v>
      </c>
      <c r="K136" s="2615"/>
      <c r="L136" s="2615"/>
      <c r="M136" s="2616"/>
      <c r="N136" s="577"/>
      <c r="O136" s="2614">
        <f>IF(((O133-0.1)*AW118)&gt;0,((O133-0.1)*AW118),0)</f>
        <v>0.13233434654674661</v>
      </c>
      <c r="P136" s="2615"/>
      <c r="Q136" s="2615"/>
      <c r="R136" s="2616"/>
      <c r="S136" s="577"/>
      <c r="T136" s="2614">
        <f>IF(((T133-0.1)*AW119)&gt;0,((T133-0.1)*AW119),0)</f>
        <v>0.12312447878057822</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0.49</v>
      </c>
      <c r="F138" s="2407"/>
      <c r="G138" s="2407"/>
      <c r="H138" s="240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0" t="s">
        <v>1314</v>
      </c>
      <c r="AF146" s="2460"/>
      <c r="AG146" s="2460"/>
      <c r="AH146" s="2460"/>
      <c r="AI146" s="2460"/>
      <c r="AJ146" s="2460"/>
      <c r="AK146" s="246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1338</v>
      </c>
      <c r="AG148" s="2520"/>
      <c r="AH148" s="2520"/>
      <c r="AI148" s="2520"/>
      <c r="AJ148" s="2520"/>
      <c r="AK148" s="2520"/>
      <c r="AL148" s="252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2636</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1" t="s">
        <v>1341</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2" t="s">
        <v>591</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1" t="s">
        <v>1343</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2475</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2476</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2474</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591</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1352</v>
      </c>
      <c r="AG168" s="2520"/>
      <c r="AH168" s="2520"/>
      <c r="AI168" s="2520"/>
      <c r="AJ168" s="2520"/>
      <c r="AK168" s="2520"/>
      <c r="AL168" s="252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1350</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591</v>
      </c>
      <c r="AG172" s="239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1" t="s">
        <v>1343</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2" t="str">
        <f>Application!AA335</f>
        <v>The John Stewart Company</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1314</v>
      </c>
      <c r="AF186" s="2460"/>
      <c r="AG186" s="2460"/>
      <c r="AH186" s="2460"/>
      <c r="AI186" s="2460"/>
      <c r="AJ186" s="2460"/>
      <c r="AK186" s="246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9" t="s">
        <v>1041</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1363</v>
      </c>
      <c r="AG188" s="2520"/>
      <c r="AH188" s="2520"/>
      <c r="AI188" s="2520"/>
      <c r="AJ188" s="2520"/>
      <c r="AK188" s="2520"/>
      <c r="AL188" s="2520"/>
      <c r="AN188" s="597"/>
      <c r="AP188" s="550" t="s">
        <v>1043</v>
      </c>
      <c r="AQ188" s="550">
        <v>10</v>
      </c>
    </row>
    <row r="189" spans="1:73" s="550" customFormat="1" ht="12.75" customHeight="1">
      <c r="A189" s="536"/>
      <c r="B189" s="2391" t="s">
        <v>1726</v>
      </c>
      <c r="C189" s="2391"/>
      <c r="D189" s="2391"/>
      <c r="E189" s="2391"/>
      <c r="F189" s="2391"/>
      <c r="G189" s="2391"/>
      <c r="H189" s="2391"/>
      <c r="I189" s="2391"/>
      <c r="J189" s="2391"/>
      <c r="K189" s="2391"/>
      <c r="L189" s="2391"/>
      <c r="M189" s="2391"/>
      <c r="N189" s="2391"/>
      <c r="O189" s="2391"/>
      <c r="P189" s="2391"/>
      <c r="Q189" s="2391"/>
      <c r="R189" s="2391"/>
      <c r="S189" s="2391"/>
      <c r="T189" s="2590" t="s">
        <v>591</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7">
        <f>IF(AK84&gt;0,VLOOKUP($B$188,AP185:AQ191,2,FALSE),0)</f>
        <v>10</v>
      </c>
      <c r="AL191" s="2428"/>
      <c r="AM191" s="242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1372</v>
      </c>
      <c r="AF194" s="2460"/>
      <c r="AG194" s="2460"/>
      <c r="AH194" s="2460"/>
      <c r="AI194" s="2460"/>
      <c r="AJ194" s="2460"/>
      <c r="AK194" s="246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2732</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v>6000000</v>
      </c>
      <c r="AE199" s="2573"/>
      <c r="AF199" s="2573"/>
      <c r="AG199" s="2573"/>
      <c r="AH199" s="2573"/>
      <c r="AI199" s="2573"/>
      <c r="AJ199" s="2573"/>
      <c r="AK199" s="610"/>
    </row>
    <row r="200" spans="1:40">
      <c r="A200" s="605"/>
      <c r="B200" s="2583" t="s">
        <v>2733</v>
      </c>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v>1000000</v>
      </c>
      <c r="AE200" s="2573"/>
      <c r="AF200" s="2573"/>
      <c r="AG200" s="2573"/>
      <c r="AH200" s="2573"/>
      <c r="AI200" s="2573"/>
      <c r="AJ200" s="2573"/>
      <c r="AK200" s="610"/>
    </row>
    <row r="201" spans="1:40">
      <c r="A201" s="605"/>
      <c r="B201" s="2583" t="s">
        <v>2734</v>
      </c>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v>4403263</v>
      </c>
      <c r="AE201" s="2573"/>
      <c r="AF201" s="2573"/>
      <c r="AG201" s="2573"/>
      <c r="AH201" s="2573"/>
      <c r="AI201" s="2573"/>
      <c r="AJ201" s="2573"/>
      <c r="AK201" s="610"/>
    </row>
    <row r="202" spans="1:40">
      <c r="A202" s="605"/>
      <c r="B202" s="2583" t="s">
        <v>2614</v>
      </c>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v>1000000</v>
      </c>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1627</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0</v>
      </c>
      <c r="AE209" s="2571"/>
      <c r="AF209" s="2571"/>
      <c r="AG209" s="2571"/>
      <c r="AH209" s="2571"/>
      <c r="AI209" s="2571"/>
      <c r="AJ209" s="2571"/>
      <c r="AK209" s="610"/>
    </row>
    <row r="210" spans="1:37">
      <c r="A210" s="605"/>
      <c r="B210" s="2445" t="s">
        <v>1590</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7">
        <f>SUM(AD199:AJ209)-AD210</f>
        <v>12403263</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1607</v>
      </c>
      <c r="J222" s="2596"/>
      <c r="K222" s="2596"/>
      <c r="L222" s="536"/>
      <c r="M222" s="536"/>
      <c r="N222" s="536"/>
      <c r="O222" s="536"/>
      <c r="P222" s="536"/>
      <c r="Q222" s="536"/>
      <c r="R222" s="536"/>
      <c r="S222" s="536"/>
      <c r="T222" s="2411" t="s">
        <v>1601</v>
      </c>
      <c r="U222" s="2411"/>
      <c r="V222" s="2411"/>
      <c r="W222" s="2411"/>
      <c r="X222" s="2411"/>
      <c r="Y222" s="2411"/>
      <c r="Z222" s="849"/>
      <c r="AA222" s="489"/>
      <c r="AB222" s="2593" t="s">
        <v>1602</v>
      </c>
      <c r="AC222" s="2593"/>
      <c r="AD222" s="2593"/>
      <c r="AE222" s="2593"/>
      <c r="AF222" s="2593"/>
      <c r="AG222" s="2593"/>
      <c r="AH222" s="827"/>
      <c r="AI222" s="827"/>
      <c r="AJ222" s="827"/>
      <c r="AK222" s="610"/>
    </row>
    <row r="223" spans="1:37">
      <c r="A223" s="605"/>
      <c r="B223" s="2594" t="s">
        <v>1587</v>
      </c>
      <c r="C223" s="2594"/>
      <c r="D223" s="2594"/>
      <c r="E223" s="2594"/>
      <c r="F223" s="2594"/>
      <c r="G223" s="2594"/>
      <c r="I223" s="2595" t="s">
        <v>1608</v>
      </c>
      <c r="J223" s="2595"/>
      <c r="K223" s="2595"/>
      <c r="L223" s="1008"/>
      <c r="N223" s="2446" t="s">
        <v>1603</v>
      </c>
      <c r="O223" s="2446"/>
      <c r="P223" s="2446"/>
      <c r="Q223" s="2446"/>
      <c r="R223" s="2446"/>
      <c r="T223" s="2446" t="s">
        <v>1604</v>
      </c>
      <c r="U223" s="2446"/>
      <c r="V223" s="2446"/>
      <c r="W223" s="2446"/>
      <c r="X223" s="2446"/>
      <c r="Y223" s="2446"/>
      <c r="Z223" s="850"/>
      <c r="AA223" s="489"/>
      <c r="AB223" s="2461" t="s">
        <v>1605</v>
      </c>
      <c r="AC223" s="2461"/>
      <c r="AD223" s="2461"/>
      <c r="AE223" s="2461"/>
      <c r="AF223" s="2461"/>
      <c r="AG223" s="2461"/>
      <c r="AH223" s="827"/>
      <c r="AI223" s="827"/>
      <c r="AJ223" s="827"/>
      <c r="AK223" s="610"/>
    </row>
    <row r="224" spans="1:37">
      <c r="A224" s="605"/>
      <c r="B224" s="2462" t="s">
        <v>1184</v>
      </c>
      <c r="C224" s="2462"/>
      <c r="D224" s="2462"/>
      <c r="E224" s="2462"/>
      <c r="F224" s="2462"/>
      <c r="G224" s="2462"/>
      <c r="H224" s="852"/>
      <c r="I224" s="2415"/>
      <c r="J224" s="2415"/>
      <c r="K224" s="2415"/>
      <c r="L224" s="1008"/>
      <c r="N224" s="2413"/>
      <c r="O224" s="2413"/>
      <c r="P224" s="2413"/>
      <c r="Q224" s="2413"/>
      <c r="R224" s="2413"/>
      <c r="T224" s="2412"/>
      <c r="U224" s="2412"/>
      <c r="V224" s="2412"/>
      <c r="W224" s="2412"/>
      <c r="X224" s="2412"/>
      <c r="Y224" s="2412"/>
      <c r="Z224" s="851"/>
      <c r="AA224" s="851"/>
      <c r="AB224" s="2410">
        <f t="shared" ref="AB224:AB233" si="0">MAX(($T224-$N224)*$I224*12,0)</f>
        <v>0</v>
      </c>
      <c r="AC224" s="2410"/>
      <c r="AD224" s="2410"/>
      <c r="AE224" s="2410"/>
      <c r="AF224" s="2410"/>
      <c r="AG224" s="2410"/>
      <c r="AH224" s="827"/>
      <c r="AI224" s="827"/>
      <c r="AJ224" s="827"/>
      <c r="AK224" s="610"/>
    </row>
    <row r="225" spans="1:37">
      <c r="A225" s="605"/>
      <c r="B225" s="2462" t="s">
        <v>1184</v>
      </c>
      <c r="C225" s="2462"/>
      <c r="D225" s="2462"/>
      <c r="E225" s="2462"/>
      <c r="F225" s="2462"/>
      <c r="G225" s="2462"/>
      <c r="I225" s="2415"/>
      <c r="J225" s="2415"/>
      <c r="K225" s="2415"/>
      <c r="L225" s="1008"/>
      <c r="N225" s="2413"/>
      <c r="O225" s="2413"/>
      <c r="P225" s="2413"/>
      <c r="Q225" s="2413"/>
      <c r="R225" s="2413"/>
      <c r="T225" s="2412"/>
      <c r="U225" s="2412"/>
      <c r="V225" s="2412"/>
      <c r="W225" s="2412"/>
      <c r="X225" s="2412"/>
      <c r="Y225" s="2412"/>
      <c r="Z225" s="851"/>
      <c r="AA225" s="851"/>
      <c r="AB225" s="2410">
        <f t="shared" si="0"/>
        <v>0</v>
      </c>
      <c r="AC225" s="2410"/>
      <c r="AD225" s="2410"/>
      <c r="AE225" s="2410"/>
      <c r="AF225" s="2410"/>
      <c r="AG225" s="2410"/>
      <c r="AH225" s="827"/>
      <c r="AI225" s="827"/>
      <c r="AJ225" s="827"/>
      <c r="AK225" s="610"/>
    </row>
    <row r="226" spans="1:37">
      <c r="A226" s="605"/>
      <c r="B226" s="2462" t="s">
        <v>1184</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1184</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1184</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1184</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1184</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1184</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1184</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1184</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0">
        <f>SUM(AB224:AB233)</f>
        <v>0</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0</v>
      </c>
      <c r="AC250" s="2410"/>
      <c r="AD250" s="2410"/>
      <c r="AE250" s="2410"/>
      <c r="AF250" s="2410"/>
      <c r="AG250" s="241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0</v>
      </c>
      <c r="AC252" s="2582"/>
      <c r="AD252" s="2582"/>
      <c r="AE252" s="2582"/>
      <c r="AF252" s="2582"/>
      <c r="AG252" s="258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0</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0</v>
      </c>
      <c r="AC260" s="2575"/>
      <c r="AD260" s="2575"/>
      <c r="AE260" s="2575"/>
      <c r="AF260" s="2575"/>
      <c r="AG260" s="257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12403263</v>
      </c>
      <c r="AH268" s="2424"/>
      <c r="AI268" s="2424"/>
      <c r="AJ268" s="2424"/>
      <c r="AK268" s="242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57237817</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0.43</v>
      </c>
      <c r="AH270" s="2570"/>
      <c r="AI270" s="2570"/>
      <c r="AJ270" s="2570"/>
      <c r="AK270" s="257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9">
        <f>IFERROR(IF(AG270=0,0,IF((AG270*100)&gt;8,8,(AG270*100))),0)</f>
        <v>8</v>
      </c>
      <c r="AL273" s="2559"/>
      <c r="AM273" s="256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1" t="s">
        <v>545</v>
      </c>
      <c r="D278" s="2441"/>
      <c r="E278" s="547"/>
      <c r="F278" s="2393" t="s">
        <v>2024</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1363</v>
      </c>
      <c r="AH278" s="2568"/>
      <c r="AI278" s="2568"/>
      <c r="AJ278" s="2568"/>
      <c r="AK278" s="550"/>
      <c r="AL278" s="550"/>
      <c r="AM278" s="550"/>
      <c r="AO278" s="550"/>
    </row>
    <row r="279" spans="1:52" ht="13.7"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9">
        <f>IF($C$278="yes",10,0)</f>
        <v>10</v>
      </c>
      <c r="AL285" s="2559"/>
      <c r="AM285" s="256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392" t="s">
        <v>545</v>
      </c>
      <c r="D292" s="2441"/>
      <c r="E292" s="547"/>
      <c r="F292" s="2561" t="s">
        <v>1383</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2017</v>
      </c>
      <c r="AH292" s="2564"/>
      <c r="AI292" s="2564"/>
      <c r="AJ292" s="2564"/>
      <c r="AK292" s="2564"/>
      <c r="AL292" s="550"/>
      <c r="AM292" s="550"/>
      <c r="AN292" s="73"/>
      <c r="AO292" s="14"/>
      <c r="AP292" s="30"/>
      <c r="AS292" s="570"/>
      <c r="AT292" s="570"/>
      <c r="AU292" s="570"/>
      <c r="AV292" s="32"/>
      <c r="AW292" s="32"/>
    </row>
    <row r="293" spans="1:49">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9" t="s">
        <v>2025</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1384</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1385</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41" t="s">
        <v>591</v>
      </c>
      <c r="D302" s="244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3" t="s">
        <v>2019</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1389</v>
      </c>
      <c r="B310" s="1634"/>
      <c r="C310" s="2441" t="s">
        <v>591</v>
      </c>
      <c r="D310" s="244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9" t="s">
        <v>2026</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1184</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1184</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2" t="s">
        <v>1184</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2" t="s">
        <v>1184</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41" t="s">
        <v>591</v>
      </c>
      <c r="D333" s="2441"/>
      <c r="E333" s="547"/>
      <c r="F333" s="2540" t="s">
        <v>2027</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7">
        <f>IF(NOT(OR(Application!M355="Yes",Application!M356="Yes")),0,AP295)</f>
        <v>10</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0" t="s">
        <v>1314</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1454</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2092</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2207</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1455</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1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85"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5</v>
      </c>
      <c r="AS357" s="539" t="s">
        <v>1456</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12</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7</v>
      </c>
      <c r="AS359" s="539" t="s">
        <v>1457</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581</v>
      </c>
      <c r="AP361" s="696">
        <f>IF(C407="Yes",5,0)</f>
        <v>0</v>
      </c>
      <c r="AS361" s="539" t="s">
        <v>1878</v>
      </c>
    </row>
    <row r="362" spans="1:46" s="550" customFormat="1" ht="12.75" customHeight="1">
      <c r="A362" s="603"/>
      <c r="B362" s="611"/>
      <c r="C362" s="2530" t="s">
        <v>2231</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0</v>
      </c>
      <c r="AS362" s="2402">
        <f>IF(AQ366=0,AQ375,AQ366)</f>
        <v>12</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763</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584</v>
      </c>
      <c r="AP364" s="696">
        <f>IF(C421="Yes",5,0)</f>
        <v>0</v>
      </c>
    </row>
    <row r="365" spans="1:46" s="550" customFormat="1" ht="11.85"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12</v>
      </c>
      <c r="AQ366" s="2439">
        <f>IF(AP366&gt;0,AP366,0)</f>
        <v>12</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6" t="s">
        <v>1458</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456</v>
      </c>
      <c r="AP369" s="696">
        <f>IF(C442="Yes",5,0)</f>
        <v>0</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461</v>
      </c>
      <c r="AP370" s="696">
        <f>IF(C449="Yes",5,0)</f>
        <v>0</v>
      </c>
    </row>
    <row r="371" spans="1:81" s="550" customFormat="1" ht="68.099999999999994"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7">
        <f>Application!DU802-U374</f>
        <v>88</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26</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9">
        <f>IF(AP375&gt;0,AP375,0)</f>
        <v>0</v>
      </c>
      <c r="AR375" s="243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0" t="s">
        <v>1460</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545</v>
      </c>
      <c r="D381" s="244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1462</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0" t="s">
        <v>1463</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591</v>
      </c>
      <c r="D389" s="244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1462</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0" t="s">
        <v>1465</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545</v>
      </c>
      <c r="D397" s="244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1467</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591</v>
      </c>
      <c r="D399" s="244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1462</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0" t="s">
        <v>1471</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591</v>
      </c>
      <c r="D407" s="244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1462</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591</v>
      </c>
      <c r="D409" s="244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1474</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591</v>
      </c>
      <c r="D412" s="2441"/>
      <c r="E412" s="715" t="s">
        <v>1475</v>
      </c>
      <c r="F412" s="2430" t="s">
        <v>1476</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1462</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0" t="s">
        <v>1478</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591</v>
      </c>
      <c r="D421" s="244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1462</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591</v>
      </c>
      <c r="D423" s="244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1474</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0" t="s">
        <v>1482</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591</v>
      </c>
      <c r="D430" s="244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1462</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0" t="s">
        <v>1485</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591</v>
      </c>
      <c r="D442" s="244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1462</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0" t="s">
        <v>1488</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591</v>
      </c>
      <c r="D449" s="244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1462</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591</v>
      </c>
      <c r="D453" s="2557"/>
      <c r="E453" s="715" t="s">
        <v>1497</v>
      </c>
      <c r="F453" s="2430" t="s">
        <v>1498</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1462</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649999999999999"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591</v>
      </c>
      <c r="D457" s="2441"/>
      <c r="E457" s="715" t="s">
        <v>1503</v>
      </c>
      <c r="F457" s="2430" t="s">
        <v>1504</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1462</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0" t="s">
        <v>1507</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591</v>
      </c>
      <c r="D466" s="244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1462</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7">
        <f>IF(Application!D214="N/A",AS358,AS360)</f>
        <v>12</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2" t="s">
        <v>1511</v>
      </c>
      <c r="AF472" s="2442"/>
      <c r="AG472" s="2442"/>
      <c r="AH472" s="2442"/>
      <c r="AI472" s="2442"/>
      <c r="AJ472" s="2442"/>
      <c r="AK472" s="244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9" t="s">
        <v>591</v>
      </c>
      <c r="D478" s="2450"/>
      <c r="E478" s="761" t="s">
        <v>507</v>
      </c>
      <c r="F478" s="2527" t="s">
        <v>1517</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5" t="s">
        <v>591</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6" t="s">
        <v>545</v>
      </c>
      <c r="D482" s="245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5" t="s">
        <v>591</v>
      </c>
      <c r="W485" s="2435"/>
      <c r="X485" s="243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5" t="s">
        <v>591</v>
      </c>
      <c r="W487" s="2435"/>
      <c r="X487" s="243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5" t="s">
        <v>591</v>
      </c>
      <c r="W492" s="2435"/>
      <c r="X492" s="243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4"/>
      <c r="E495" s="245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5" t="s">
        <v>591</v>
      </c>
      <c r="W496" s="2435"/>
      <c r="X496" s="243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5" t="s">
        <v>591</v>
      </c>
      <c r="W498" s="2435"/>
      <c r="X498" s="243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591</v>
      </c>
      <c r="D501" s="2450"/>
      <c r="E501" s="761" t="s">
        <v>507</v>
      </c>
      <c r="F501" s="2527" t="s">
        <v>1517</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591</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591</v>
      </c>
      <c r="D505" s="2450"/>
      <c r="E505" s="761" t="s">
        <v>757</v>
      </c>
      <c r="F505" s="2451" t="s">
        <v>1539</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3" t="s">
        <v>591</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9" t="s">
        <v>591</v>
      </c>
      <c r="D510" s="245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9"/>
      <c r="D512" s="245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591</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591</v>
      </c>
      <c r="D515" s="252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591</v>
      </c>
      <c r="D519" s="2522"/>
      <c r="F519" s="795" t="s">
        <v>1547</v>
      </c>
      <c r="G519" s="2431" t="s">
        <v>1548</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591</v>
      </c>
      <c r="D523" s="252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591</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1560</v>
      </c>
      <c r="AF538" s="2460"/>
      <c r="AG538" s="2460"/>
      <c r="AH538" s="2460"/>
      <c r="AI538" s="2460"/>
      <c r="AJ538" s="2460"/>
      <c r="AK538" s="246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591</v>
      </c>
      <c r="D541" s="2441"/>
      <c r="E541" s="551"/>
      <c r="F541" s="2463" t="s">
        <v>1561</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545</v>
      </c>
      <c r="D544" s="244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1563</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1564</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47826200</v>
      </c>
      <c r="AQ550" s="2418"/>
      <c r="AR550" s="241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49954088</v>
      </c>
      <c r="AG551" s="2424"/>
      <c r="AH551" s="2424"/>
      <c r="AI551" s="2424"/>
      <c r="AJ551" s="242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121168085</v>
      </c>
      <c r="AG552" s="2425"/>
      <c r="AH552" s="2425"/>
      <c r="AI552" s="2425"/>
      <c r="AJ552" s="2425"/>
      <c r="AK552" s="595"/>
      <c r="AL552" s="595"/>
      <c r="AM552" s="595"/>
      <c r="AN552" s="597"/>
      <c r="AP552" s="2418">
        <f>Application!AJ1045</f>
        <v>25826148</v>
      </c>
      <c r="AQ552" s="2418"/>
      <c r="AR552" s="241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1.17</v>
      </c>
      <c r="AG553" s="2426"/>
      <c r="AH553" s="2426"/>
      <c r="AI553" s="2426"/>
      <c r="AJ553" s="2426"/>
      <c r="AK553" s="595"/>
      <c r="AL553" s="595"/>
      <c r="AM553" s="595"/>
      <c r="AN553" s="597"/>
      <c r="AP553" s="2414">
        <f>Application!AJ1049</f>
        <v>24869624</v>
      </c>
      <c r="AQ553" s="2414"/>
      <c r="AR553" s="241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0.8</v>
      </c>
      <c r="AQ554" s="2433"/>
      <c r="AR554" s="2433"/>
      <c r="AS554" s="550" t="s">
        <v>2171</v>
      </c>
    </row>
    <row r="555" spans="1:49" s="550" customFormat="1" ht="12.75" customHeight="1">
      <c r="A555" s="624"/>
      <c r="B555" s="2500" t="s">
        <v>2031</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82907125</v>
      </c>
      <c r="AQ556" s="2434"/>
      <c r="AR556" s="2434"/>
      <c r="AS556" s="550" t="s">
        <v>2173</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133602897</v>
      </c>
      <c r="AQ557" s="2418"/>
      <c r="AR557" s="241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9">
        <f>IFERROR(IF(AND(C541="N/A",C544="N/A"),0,IF(AF553=0,0,IF((AF553*100)&gt;12,12,(AF553*100)))),0)</f>
        <v>12</v>
      </c>
      <c r="AL559" s="2509"/>
      <c r="AM559" s="2510"/>
      <c r="AN559" s="597"/>
      <c r="AP559" s="2403">
        <f>AP556+(AP550*AP554)</f>
        <v>121168085</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1314</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2022</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1338</v>
      </c>
      <c r="AG578" s="2520"/>
      <c r="AH578" s="2520"/>
      <c r="AI578" s="2520"/>
      <c r="AJ578" s="2520"/>
      <c r="AK578" s="2520"/>
      <c r="AL578" s="252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1396</v>
      </c>
      <c r="AG585" s="2520"/>
      <c r="AH585" s="2520"/>
      <c r="AI585" s="2520"/>
      <c r="AJ585" s="2520"/>
      <c r="AK585" s="2520"/>
      <c r="AL585" s="252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1378</v>
      </c>
      <c r="AG591" s="2520"/>
      <c r="AH591" s="2520"/>
      <c r="AI591" s="2520"/>
      <c r="AJ591" s="2520"/>
      <c r="AK591" s="2520"/>
      <c r="AL591" s="252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1399</v>
      </c>
      <c r="AG597" s="2520"/>
      <c r="AH597" s="2520"/>
      <c r="AI597" s="2520"/>
      <c r="AJ597" s="2520"/>
      <c r="AK597" s="2520"/>
      <c r="AL597" s="252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6" t="s">
        <v>1184</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1352</v>
      </c>
      <c r="AG603" s="2520"/>
      <c r="AH603" s="2520"/>
      <c r="AI603" s="2520"/>
      <c r="AJ603" s="2520"/>
      <c r="AK603" s="2520"/>
      <c r="AL603" s="252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4" t="s">
        <v>687</v>
      </c>
      <c r="I606" s="2444"/>
      <c r="J606" s="936"/>
      <c r="K606" s="936"/>
      <c r="L606" s="936"/>
      <c r="N606" s="22"/>
      <c r="O606" s="22"/>
      <c r="P606" s="22"/>
      <c r="Q606" s="1151" t="s">
        <v>2176</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5" t="s">
        <v>591</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2" t="s">
        <v>591</v>
      </c>
      <c r="C616" s="2392"/>
      <c r="D616" s="642"/>
      <c r="E616" s="2420" t="s">
        <v>1403</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7">
        <f>VLOOKUP($H$606,$AO$586:$AP$591,2,FALSE)+IF(R606=AO594,0,VLOOKUP($I$614,$AO$613:$AP$615,2,FALSE))</f>
        <v>7</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4" t="s">
        <v>1694</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1352</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2" t="s">
        <v>591</v>
      </c>
      <c r="Y634" s="239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1408</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4" t="s">
        <v>687</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7">
        <f>VLOOKUP($H$638,$AO$605:$AP$607,2,FALSE)</f>
        <v>3</v>
      </c>
      <c r="AK640" s="242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0" t="s">
        <v>2097</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1352</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1408</v>
      </c>
      <c r="AG647" s="2520"/>
      <c r="AH647" s="2520"/>
      <c r="AI647" s="2520"/>
      <c r="AJ647" s="2520"/>
      <c r="AK647" s="2520"/>
      <c r="AL647" s="252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4" t="s">
        <v>591</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7">
        <f>VLOOKUP(H650,AT605:AU607,2,FALSE)</f>
        <v>0</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0" t="s">
        <v>1418</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1378</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0" t="s">
        <v>1419</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1399</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1420</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1352</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591</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0" t="s">
        <v>1421</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1399</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0" t="s">
        <v>1422</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1352</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0" t="s">
        <v>1423</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1408</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0" t="s">
        <v>1424</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1425</v>
      </c>
      <c r="AG681" s="2520"/>
      <c r="AH681" s="2520"/>
      <c r="AI681" s="2520"/>
      <c r="AJ681" s="2520"/>
      <c r="AK681" s="2520"/>
      <c r="AL681" s="2520"/>
      <c r="AM681" s="596"/>
      <c r="AN681" s="597"/>
      <c r="AO681" s="611" t="s">
        <v>687</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4" t="s">
        <v>687</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7">
        <f>VLOOKUP($H$685,$AO$633:$AP$640,2,FALSE)</f>
        <v>5</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17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64</v>
      </c>
    </row>
    <row r="691" spans="1:51" s="550" customFormat="1" ht="12.75" customHeight="1">
      <c r="A691" s="679"/>
      <c r="B691" s="536"/>
      <c r="C691" s="948"/>
      <c r="D691" s="663" t="s">
        <v>687</v>
      </c>
      <c r="E691" s="2390" t="s">
        <v>2189</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1352</v>
      </c>
      <c r="AG691" s="2520"/>
      <c r="AH691" s="2520"/>
      <c r="AI691" s="2520"/>
      <c r="AJ691" s="2520"/>
      <c r="AK691" s="2520"/>
      <c r="AL691" s="2520"/>
      <c r="AN691" s="597"/>
      <c r="AW691" s="22" t="s">
        <v>2184</v>
      </c>
      <c r="AX691" s="550">
        <f>Application!DE753</f>
        <v>16</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0" t="s">
        <v>2133</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1352</v>
      </c>
      <c r="AG694" s="2520"/>
      <c r="AH694" s="2520"/>
      <c r="AI694" s="2520"/>
      <c r="AJ694" s="2520"/>
      <c r="AK694" s="2520"/>
      <c r="AL694" s="2520"/>
      <c r="AN694" s="597"/>
      <c r="AW694" s="22" t="s">
        <v>2187</v>
      </c>
      <c r="AX694" s="550">
        <f>AX691+AX692+AX693</f>
        <v>16</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1</v>
      </c>
      <c r="AP695" s="2434"/>
      <c r="AW695" s="22" t="s">
        <v>2188</v>
      </c>
      <c r="AX695" s="550">
        <f>IFERROR(AX694/AX690,0)</f>
        <v>0.25</v>
      </c>
      <c r="AY695" s="550">
        <f>IFERROR(AX694/(AX690-AX689),0)</f>
        <v>0.34042553191489361</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0" t="s">
        <v>2134</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1408</v>
      </c>
      <c r="AG699" s="2520"/>
      <c r="AH699" s="2520"/>
      <c r="AI699" s="2520"/>
      <c r="AJ699" s="2520"/>
      <c r="AK699" s="2520"/>
      <c r="AL699" s="2520"/>
      <c r="AN699" s="597"/>
      <c r="AO699" s="611" t="s">
        <v>509</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0" t="s">
        <v>1693</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4" t="s">
        <v>509</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7">
        <f>VLOOKUP($H$709,$AO$703:$AP$706,2,FALSE)</f>
        <v>3</v>
      </c>
      <c r="AK711" s="242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1352</v>
      </c>
      <c r="AG715" s="2520"/>
      <c r="AH715" s="2520"/>
      <c r="AI715" s="2520"/>
      <c r="AJ715" s="2520"/>
      <c r="AK715" s="2520"/>
      <c r="AL715" s="2520"/>
      <c r="AM715" s="550"/>
      <c r="AN715" s="684"/>
      <c r="AP715" s="570" t="s">
        <v>1432</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1408</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44" t="s">
        <v>591</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0" t="s">
        <v>1696</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1352</v>
      </c>
      <c r="AG729" s="2520"/>
      <c r="AH729" s="2520"/>
      <c r="AI729" s="2520"/>
      <c r="AJ729" s="2520"/>
      <c r="AK729" s="2520"/>
      <c r="AL729" s="2520"/>
      <c r="AM729" s="550"/>
      <c r="AN729" s="684"/>
      <c r="AT729" s="14"/>
      <c r="AU729" s="14"/>
      <c r="AV729" s="14"/>
      <c r="AW729" s="14"/>
      <c r="AX729" s="14"/>
      <c r="AY729" s="14"/>
      <c r="AZ729" s="14"/>
    </row>
    <row r="730" spans="1:81" s="570" customFormat="1">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0" t="s">
        <v>1439</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1408</v>
      </c>
      <c r="AG732" s="2520"/>
      <c r="AH732" s="2520"/>
      <c r="AI732" s="2520"/>
      <c r="AJ732" s="2520"/>
      <c r="AK732" s="2520"/>
      <c r="AL732" s="2520"/>
      <c r="AM732" s="550"/>
      <c r="AN732" s="684"/>
      <c r="AT732" s="14"/>
      <c r="AU732" s="14"/>
      <c r="AV732" s="14"/>
      <c r="AW732" s="14"/>
      <c r="AX732" s="14"/>
      <c r="AY732" s="14"/>
      <c r="AZ732" s="14"/>
    </row>
    <row r="733" spans="1:81" s="570" customFormat="1">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4" t="s">
        <v>591</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0" t="s">
        <v>1442</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1352</v>
      </c>
      <c r="AG741" s="2520"/>
      <c r="AH741" s="2520"/>
      <c r="AI741" s="2520"/>
      <c r="AJ741" s="2520"/>
      <c r="AK741" s="2520"/>
      <c r="AL741" s="2520"/>
      <c r="AM741" s="550"/>
      <c r="AN741" s="684"/>
      <c r="AT741" s="14"/>
      <c r="AU741" s="14"/>
      <c r="AV741" s="14"/>
      <c r="AW741" s="14"/>
      <c r="AX741" s="14"/>
      <c r="AY741" s="14"/>
      <c r="AZ741" s="14"/>
    </row>
    <row r="742" spans="1:81" s="570" customFormat="1">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0" t="s">
        <v>1443</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1408</v>
      </c>
      <c r="AG746" s="2520"/>
      <c r="AH746" s="2520"/>
      <c r="AI746" s="2520"/>
      <c r="AJ746" s="2520"/>
      <c r="AK746" s="2520"/>
      <c r="AL746" s="2520"/>
      <c r="AM746" s="550"/>
      <c r="AN746" s="684"/>
      <c r="AO746" s="30"/>
      <c r="AP746" s="14"/>
    </row>
    <row r="747" spans="1:81" s="570" customFormat="1">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4" t="s">
        <v>591</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7">
        <f>VLOOKUP($H$751,$AO$680:$AP$682,2,FALSE)</f>
        <v>0</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0" t="s">
        <v>1445</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1408</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0" t="s">
        <v>1446</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1425</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4" t="s">
        <v>687</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0" t="s">
        <v>1692</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1408</v>
      </c>
      <c r="AG769" s="2520"/>
      <c r="AH769" s="2520"/>
      <c r="AI769" s="2520"/>
      <c r="AJ769" s="2520"/>
      <c r="AK769" s="2520"/>
      <c r="AL769" s="2520"/>
      <c r="AM769" s="613"/>
      <c r="AN769" s="684"/>
      <c r="AO769" s="550" t="s">
        <v>591</v>
      </c>
      <c r="AP769" s="673">
        <v>0</v>
      </c>
    </row>
    <row r="770" spans="1:81" s="570" customFormat="1" ht="13.7"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1352</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4" t="s">
        <v>591</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7">
        <f>VLOOKUP($H$779,$AO$769:$AP$771,2,FALSE)</f>
        <v>0</v>
      </c>
      <c r="AK781" s="242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0" t="s">
        <v>2032</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1352</v>
      </c>
      <c r="AG785" s="2520"/>
      <c r="AH785" s="2520"/>
      <c r="AI785" s="2520"/>
      <c r="AJ785" s="2520"/>
      <c r="AK785" s="2520"/>
      <c r="AL785" s="2520"/>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4" t="s">
        <v>545</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7">
        <f>VLOOKUP($H$790,$AO$784:$AP$785,2,FALSE)</f>
        <v>3</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1568</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4" t="s">
        <v>1569</v>
      </c>
      <c r="U802" s="2515"/>
      <c r="V802" s="2515"/>
      <c r="W802" s="2515"/>
      <c r="X802" s="2515"/>
      <c r="Y802" s="2516"/>
      <c r="Z802" s="2514" t="s">
        <v>1570</v>
      </c>
      <c r="AA802" s="2515"/>
      <c r="AB802" s="2515"/>
      <c r="AC802" s="2515"/>
      <c r="AD802" s="2515"/>
      <c r="AE802" s="2516"/>
      <c r="AF802" s="2514" t="s">
        <v>1571</v>
      </c>
      <c r="AG802" s="2515"/>
      <c r="AH802" s="2515"/>
      <c r="AI802" s="2515"/>
      <c r="AJ802" s="2515"/>
      <c r="AK802" s="251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c r="A804" s="819" t="s">
        <v>757</v>
      </c>
      <c r="B804" s="2471" t="s">
        <v>1304</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c r="A805" s="819" t="s">
        <v>1541</v>
      </c>
      <c r="B805" s="2471" t="s">
        <v>1313</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c r="A806" s="819" t="s">
        <v>1550</v>
      </c>
      <c r="B806" s="2471" t="s">
        <v>1323</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9">
        <f ca="1">IF(T806&gt;Z806,Z806,T806)</f>
        <v>20</v>
      </c>
      <c r="AG806" s="2439"/>
      <c r="AH806" s="2439"/>
      <c r="AI806" s="2439"/>
      <c r="AJ806" s="2439"/>
      <c r="AK806" s="2439"/>
      <c r="AL806" s="818"/>
      <c r="AM806" s="596"/>
      <c r="AO806" s="816"/>
      <c r="AP806" s="816"/>
      <c r="AQ806" s="816"/>
    </row>
    <row r="807" spans="1:81">
      <c r="A807" s="819" t="s">
        <v>1572</v>
      </c>
      <c r="B807" s="2471" t="s">
        <v>1333</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c r="A808" s="820" t="s">
        <v>1573</v>
      </c>
      <c r="B808" s="2471" t="s">
        <v>1574</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c r="A809" s="535"/>
      <c r="B809" s="601"/>
      <c r="C809" s="2477" t="s">
        <v>1575</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c r="A810" s="600"/>
      <c r="B810" s="601"/>
      <c r="C810" s="2477" t="s">
        <v>1576</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c r="A811" s="820" t="s">
        <v>1361</v>
      </c>
      <c r="B811" s="2471" t="s">
        <v>1577</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c r="A812" s="819" t="s">
        <v>1370</v>
      </c>
      <c r="B812" s="2471" t="s">
        <v>1371</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idden="1">
      <c r="A813" s="820" t="s">
        <v>589</v>
      </c>
      <c r="B813" s="2471" t="s">
        <v>1578</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1" t="s">
        <v>1579</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1" t="s">
        <v>1381</v>
      </c>
      <c r="C815" s="2471"/>
      <c r="D815" s="2471"/>
      <c r="E815" s="2471"/>
      <c r="F815" s="2471"/>
      <c r="G815" s="2471"/>
      <c r="H815" s="2471"/>
      <c r="I815" s="2471"/>
      <c r="J815" s="2471"/>
      <c r="K815" s="2471"/>
      <c r="L815" s="2471"/>
      <c r="M815" s="2471"/>
      <c r="N815" s="2471"/>
      <c r="O815" s="2471"/>
      <c r="P815" s="2471"/>
      <c r="Q815" s="2471"/>
      <c r="R815" s="2471"/>
      <c r="S815" s="2472"/>
      <c r="T815" s="2473">
        <f>AK338</f>
        <v>10</v>
      </c>
      <c r="U815" s="2473"/>
      <c r="V815" s="2473"/>
      <c r="W815" s="2473"/>
      <c r="X815" s="2473"/>
      <c r="Y815" s="2473"/>
      <c r="Z815" s="2482">
        <v>10</v>
      </c>
      <c r="AA815" s="2483"/>
      <c r="AB815" s="2483"/>
      <c r="AC815" s="2483"/>
      <c r="AD815" s="2483"/>
      <c r="AE815" s="2484"/>
      <c r="AF815" s="2482">
        <f>IF(T815&gt;Z815,Z815,T815)</f>
        <v>10</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9">
        <f>AK338</f>
        <v>10</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1" t="s">
        <v>845</v>
      </c>
      <c r="C817" s="2471"/>
      <c r="D817" s="2471"/>
      <c r="E817" s="2471"/>
      <c r="F817" s="2471"/>
      <c r="G817" s="2471"/>
      <c r="H817" s="2471"/>
      <c r="I817" s="2471"/>
      <c r="J817" s="2471"/>
      <c r="K817" s="2471"/>
      <c r="L817" s="2471"/>
      <c r="M817" s="2471"/>
      <c r="N817" s="2471"/>
      <c r="O817" s="2471"/>
      <c r="P817" s="2471"/>
      <c r="Q817" s="2471"/>
      <c r="R817" s="2471"/>
      <c r="S817" s="2472"/>
      <c r="T817" s="2473">
        <f>AK469</f>
        <v>12</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1" t="s">
        <v>1559</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1" t="s">
        <v>1581</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5" t="s">
        <v>1582</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1583</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7" t="s">
        <v>1584</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120</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 workbookViewId="0">
      <selection activeCell="L11" sqref="L1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8" t="s">
        <v>1585</v>
      </c>
      <c r="B1" s="2668"/>
      <c r="C1" s="2668"/>
      <c r="D1" s="2668"/>
      <c r="E1" s="2668"/>
      <c r="F1" s="2668"/>
      <c r="G1" s="2668"/>
      <c r="H1" s="2668"/>
      <c r="I1" s="2668"/>
      <c r="J1" s="2668"/>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26083572</v>
      </c>
      <c r="I3" s="1105"/>
    </row>
    <row r="4" spans="1:13" s="1051" customFormat="1" ht="20.100000000000001" customHeight="1">
      <c r="B4" s="1094"/>
      <c r="D4" s="1108"/>
      <c r="F4" s="1092" t="s">
        <v>1991</v>
      </c>
      <c r="G4" s="1091" t="s">
        <v>1990</v>
      </c>
      <c r="H4" s="1093">
        <f>I18</f>
        <v>14787091.503267974</v>
      </c>
      <c r="I4" s="1095"/>
      <c r="K4" s="1055"/>
    </row>
    <row r="5" spans="1:13" s="1051" customFormat="1" ht="20.100000000000001" customHeight="1" thickBot="1">
      <c r="B5" s="1096"/>
      <c r="C5" s="1097"/>
      <c r="D5" s="1109"/>
      <c r="E5" s="1098"/>
      <c r="F5" s="1109" t="s">
        <v>1941</v>
      </c>
      <c r="G5" s="1110"/>
      <c r="H5" s="1106">
        <f>IFERROR(H3/H4,0)</f>
        <v>1.7639420161994321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1939</v>
      </c>
      <c r="C8" s="2672"/>
      <c r="D8" s="2672"/>
      <c r="E8" s="2673"/>
      <c r="G8" s="2648" t="s">
        <v>1940</v>
      </c>
      <c r="H8" s="2649"/>
      <c r="I8" s="2650"/>
      <c r="K8" s="1057"/>
    </row>
    <row r="9" spans="1:13" ht="15" customHeight="1">
      <c r="A9" s="1046"/>
      <c r="B9" s="2669" t="s">
        <v>1973</v>
      </c>
      <c r="C9" s="2669"/>
      <c r="D9" s="2669"/>
      <c r="E9" s="1059">
        <f>G33</f>
        <v>3825000</v>
      </c>
      <c r="G9" s="2661" t="s">
        <v>1971</v>
      </c>
      <c r="H9" s="2661"/>
      <c r="I9" s="1060">
        <f>SUMIF(Application!M554:M565,"Loan, Tax-Exempt",Application!AM554:AM565)</f>
        <v>16000000</v>
      </c>
      <c r="K9" s="1061"/>
      <c r="M9" s="1062"/>
    </row>
    <row r="10" spans="1:13" ht="15" customHeight="1" thickBot="1">
      <c r="A10" s="1046"/>
      <c r="B10" s="2669" t="s">
        <v>1974</v>
      </c>
      <c r="C10" s="2669"/>
      <c r="D10" s="2669"/>
      <c r="E10" s="1060">
        <f>G47</f>
        <v>14175072.000000002</v>
      </c>
      <c r="G10" s="2675" t="s">
        <v>1942</v>
      </c>
      <c r="H10" s="2675"/>
      <c r="I10" s="1140">
        <f>'Basis &amp; Credits'!AB78</f>
        <v>6000000</v>
      </c>
      <c r="M10" s="1062"/>
    </row>
    <row r="11" spans="1:13" ht="15" customHeight="1">
      <c r="A11" s="1046"/>
      <c r="B11" s="2662" t="s">
        <v>2262</v>
      </c>
      <c r="C11" s="2663"/>
      <c r="D11" s="2664"/>
      <c r="E11" s="1060">
        <f>SUM(E12,E13)</f>
        <v>510000</v>
      </c>
      <c r="G11" s="2660" t="s">
        <v>1982</v>
      </c>
      <c r="H11" s="2660"/>
      <c r="I11" s="1139">
        <f>I9+I10</f>
        <v>22000000</v>
      </c>
      <c r="M11" s="1062"/>
    </row>
    <row r="12" spans="1:13" ht="15" customHeight="1">
      <c r="A12" s="1063"/>
      <c r="B12" s="2670" t="s">
        <v>2264</v>
      </c>
      <c r="C12" s="2670"/>
      <c r="D12" s="2670"/>
      <c r="E12" s="1165">
        <f>G56</f>
        <v>170000</v>
      </c>
      <c r="M12" s="1062"/>
    </row>
    <row r="13" spans="1:13" ht="15" customHeight="1">
      <c r="A13" s="1049"/>
      <c r="B13" s="2670" t="s">
        <v>2265</v>
      </c>
      <c r="C13" s="2670"/>
      <c r="D13" s="2670"/>
      <c r="E13" s="1165">
        <f>G65</f>
        <v>340000</v>
      </c>
      <c r="G13" s="2648" t="s">
        <v>2005</v>
      </c>
      <c r="H13" s="2649"/>
      <c r="I13" s="2650"/>
      <c r="M13" s="1062"/>
    </row>
    <row r="14" spans="1:13" ht="15" customHeight="1">
      <c r="A14" s="1049"/>
      <c r="B14" s="2662" t="s">
        <v>2263</v>
      </c>
      <c r="C14" s="2663"/>
      <c r="D14" s="2664"/>
      <c r="E14" s="1167">
        <f>MAX(E15,E16)+E17</f>
        <v>7573500</v>
      </c>
      <c r="G14" s="2661" t="s">
        <v>139</v>
      </c>
      <c r="H14" s="2661"/>
      <c r="I14" s="1064">
        <f>15%*(AND(G120="Yes",G122&lt;&gt;""))</f>
        <v>0.15</v>
      </c>
      <c r="M14" s="1062"/>
    </row>
    <row r="15" spans="1:13" ht="15" customHeight="1">
      <c r="A15" s="1049"/>
      <c r="B15" s="2645" t="s">
        <v>2269</v>
      </c>
      <c r="C15" s="2646"/>
      <c r="D15" s="2647"/>
      <c r="E15" s="1165">
        <f>G80</f>
        <v>2295000</v>
      </c>
      <c r="G15" s="1137" t="s">
        <v>1983</v>
      </c>
      <c r="H15" s="1137"/>
      <c r="I15" s="1064">
        <f>IF(Application!AJ1032&gt;0,10%,IF(Application!AJ1036&gt;0,5%,0))</f>
        <v>0.05</v>
      </c>
      <c r="M15" s="1062"/>
    </row>
    <row r="16" spans="1:13" ht="15" customHeight="1">
      <c r="A16" s="1049"/>
      <c r="B16" s="2645" t="s">
        <v>2268</v>
      </c>
      <c r="C16" s="2646"/>
      <c r="D16" s="2647"/>
      <c r="E16" s="1165">
        <f>G90</f>
        <v>0</v>
      </c>
      <c r="G16" s="2661" t="s">
        <v>1984</v>
      </c>
      <c r="H16" s="2661"/>
      <c r="I16" s="1064">
        <f>G132</f>
        <v>0.127859477124183</v>
      </c>
    </row>
    <row r="17" spans="1:21" ht="15" customHeight="1" thickBot="1">
      <c r="A17" s="1049"/>
      <c r="B17" s="2645" t="s">
        <v>2267</v>
      </c>
      <c r="C17" s="2646"/>
      <c r="D17" s="2647"/>
      <c r="E17" s="1165">
        <f>G115</f>
        <v>5278500</v>
      </c>
      <c r="G17" s="2661" t="s">
        <v>2277</v>
      </c>
      <c r="H17" s="2661"/>
      <c r="I17" s="1064">
        <f>IF(AND(G139="Yes",OR(G136,G137)),IF(G143&gt;15%,15%,G143),0)</f>
        <v>0</v>
      </c>
    </row>
    <row r="18" spans="1:21" ht="15" customHeight="1">
      <c r="A18" s="1046"/>
      <c r="B18" s="2674" t="s">
        <v>1938</v>
      </c>
      <c r="C18" s="2674"/>
      <c r="D18" s="2674"/>
      <c r="E18" s="1111">
        <f>SUM(E9:E11,E14)</f>
        <v>26083572</v>
      </c>
      <c r="G18" s="1138" t="s">
        <v>1972</v>
      </c>
      <c r="H18" s="1138"/>
      <c r="I18" s="1112">
        <f>I11-((I11*I14)+(I11*I15)+(I11*I16)+(I11*I17))</f>
        <v>14787091.503267974</v>
      </c>
      <c r="M18" s="1065">
        <f>SUM(Cdlac[Quantity])</f>
        <v>64</v>
      </c>
      <c r="O18" s="1084" t="s">
        <v>582</v>
      </c>
      <c r="P18" s="1044">
        <f>MATCH(Application!T189,Application!CB160:CB217,0)</f>
        <v>41</v>
      </c>
      <c r="T18" s="1065">
        <f>SUM(Cdlac[Population])</f>
        <v>17</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0.7</v>
      </c>
      <c r="O20" s="1071">
        <f>IF(Cdlac[[#This Row],[Quantity]]&gt;0,IF(Cdlac[[#This Row],[Federal]],30%,IF(AND(OR(NOT($G$38),$G$38=""),$G$43),40%,Cdlac[[#This Row],[iAMI]])),"")</f>
        <v>0.7</v>
      </c>
      <c r="P20" s="1065" cm="1">
        <f t="array" ref="P20">IF(Cdlac[[#This Row],[Quantity]]&gt;0,INDEX(TcacRents,$P$18,Cdlac[[#This Row],[Bedrooms]]+1)*Cdlac[[#This Row],[AMI]],"")</f>
        <v>2538.1999999999998</v>
      </c>
      <c r="Q20" s="1164"/>
      <c r="R20" s="1065" cm="1">
        <f t="array" ref="R20">IF(Cdlac[[#This Row],[Quantity]]&gt;0,INDEX(HudFmrs,$P$18,Cdlac[[#This Row],[Bedrooms]]+1),"")</f>
        <v>2780</v>
      </c>
      <c r="S20" s="1065">
        <f>IF(Cdlac[[#This Row],[Quantity]]&gt;0,MAX(0,Cdlac[[#This Row],[Fair Market Rent]]-IF(AND($G$37,$G$38,$G$38&lt;&gt;"",NOT(Cdlac[[#This Row],[Federal]]),Cdlac[[#This Row],[Preservation Rent]]&lt;&gt;""),Cdlac[[#This Row],[Preservation Rent]],Cdlac[[#This Row],[Restricted Rent]])),"")</f>
        <v>241.80000000000018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15</v>
      </c>
      <c r="N21" s="1071">
        <f>Application!AC719</f>
        <v>0.5</v>
      </c>
      <c r="O21" s="1071">
        <f>IF(Cdlac[[#This Row],[Quantity]]&gt;0,IF(Cdlac[[#This Row],[Federal]],30%,IF(AND(OR(NOT($G$38),$G$38=""),$G$43),40%,Cdlac[[#This Row],[iAMI]])),"")</f>
        <v>0.5</v>
      </c>
      <c r="P21" s="1065" cm="1">
        <f t="array" ref="P21">IF(Cdlac[[#This Row],[Quantity]]&gt;0,INDEX(TcacRents,$P$18,Cdlac[[#This Row],[Bedrooms]]+1)*Cdlac[[#This Row],[AMI]],"")</f>
        <v>1813</v>
      </c>
      <c r="Q21" s="1164"/>
      <c r="R21" s="1065" cm="1">
        <f t="array" ref="R21">IF(Cdlac[[#This Row],[Quantity]]&gt;0,INDEX(HudFmrs,$P$18,Cdlac[[#This Row],[Bedrooms]]+1),"")</f>
        <v>2780</v>
      </c>
      <c r="S21" s="1065">
        <f>IF(Cdlac[[#This Row],[Quantity]]&gt;0,MAX(0,Cdlac[[#This Row],[Fair Market Rent]]-IF(AND($G$37,$G$38,$G$38&lt;&gt;"",NOT(Cdlac[[#This Row],[Federal]]),Cdlac[[#This Row],[Preservation Rent]]&lt;&gt;""),Cdlac[[#This Row],[Preservation Rent]],Cdlac[[#This Row],[Restricted Rent]])),"")</f>
        <v>967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2" t="s">
        <v>1986</v>
      </c>
      <c r="D22" s="2652" t="s">
        <v>1987</v>
      </c>
      <c r="E22" s="2652" t="s">
        <v>1988</v>
      </c>
      <c r="F22" s="2652" t="s">
        <v>2608</v>
      </c>
      <c r="G22" s="2652" t="s">
        <v>1985</v>
      </c>
      <c r="H22" s="1070"/>
      <c r="I22" s="1069"/>
      <c r="L22" s="1044">
        <f>IFERROR(MIN(4,MATCH(Application!B720,UnitSizes,0)-1),"")</f>
        <v>1</v>
      </c>
      <c r="M22" s="1065">
        <f>Application!G720</f>
        <v>11</v>
      </c>
      <c r="N22" s="1071">
        <f>Application!AC720</f>
        <v>0.3</v>
      </c>
      <c r="O22" s="1071">
        <f>IF(Cdlac[[#This Row],[Quantity]]&gt;0,IF(Cdlac[[#This Row],[Federal]],30%,IF(AND(OR(NOT($G$38),$G$38=""),$G$43),40%,Cdlac[[#This Row],[iAMI]])),"")</f>
        <v>0.3</v>
      </c>
      <c r="P22" s="1065" cm="1">
        <f t="array" ref="P22">IF(Cdlac[[#This Row],[Quantity]]&gt;0,INDEX(TcacRents,$P$18,Cdlac[[#This Row],[Bedrooms]]+1)*Cdlac[[#This Row],[AMI]],"")</f>
        <v>1087.8</v>
      </c>
      <c r="Q22" s="1164"/>
      <c r="R22" s="1065" cm="1">
        <f t="array" ref="R22">IF(Cdlac[[#This Row],[Quantity]]&gt;0,INDEX(HudFmrs,$P$18,Cdlac[[#This Row],[Bedrooms]]+1),"")</f>
        <v>2780</v>
      </c>
      <c r="S22" s="1065">
        <f>IF(Cdlac[[#This Row],[Quantity]]&gt;0,MAX(0,Cdlac[[#This Row],[Fair Market Rent]]-IF(AND($G$37,$G$38,$G$38&lt;&gt;"",NOT(Cdlac[[#This Row],[Federal]]),Cdlac[[#This Row],[Preservation Rent]]&lt;&gt;""),Cdlac[[#This Row],[Preservation Rent]],Cdlac[[#This Row],[Restricted Rent]])),"")</f>
        <v>1692.2</v>
      </c>
      <c r="T22" s="1044">
        <f>IF(Cdlac[[#This Row],[Quantity]]&gt;0,AND(Application!AK720&lt;&gt;"N/A",Application!AK720&lt;&gt;"")*Cdlac[[#This Row],[Quantity]],"")</f>
        <v>11</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2</v>
      </c>
      <c r="M23" s="1065">
        <f>Application!G721</f>
        <v>4</v>
      </c>
      <c r="N23" s="1071">
        <f>Application!AC721</f>
        <v>0.7</v>
      </c>
      <c r="O23" s="1071">
        <f>IF(Cdlac[[#This Row],[Quantity]]&gt;0,IF(Cdlac[[#This Row],[Federal]],30%,IF(AND(OR(NOT($G$38),$G$38=""),$G$43),40%,Cdlac[[#This Row],[iAMI]])),"")</f>
        <v>0.7</v>
      </c>
      <c r="P23" s="1065" cm="1">
        <f t="array" ref="P23">IF(Cdlac[[#This Row],[Quantity]]&gt;0,INDEX(TcacRents,$P$18,Cdlac[[#This Row],[Bedrooms]]+1)*Cdlac[[#This Row],[AMI]],"")</f>
        <v>3046.3999999999996</v>
      </c>
      <c r="Q23" s="1164"/>
      <c r="R23" s="1065" cm="1">
        <f t="array" ref="R23">IF(Cdlac[[#This Row],[Quantity]]&gt;0,INDEX(HudFmrs,$P$18,Cdlac[[#This Row],[Bedrooms]]+1),"")</f>
        <v>3318</v>
      </c>
      <c r="S23" s="1065">
        <f>IF(Cdlac[[#This Row],[Quantity]]&gt;0,MAX(0,Cdlac[[#This Row],[Fair Market Rent]]-IF(AND($G$37,$G$38,$G$38&lt;&gt;"",NOT(Cdlac[[#This Row],[Federal]]),Cdlac[[#This Row],[Preservation Rent]]&lt;&gt;""),Cdlac[[#This Row],[Preservation Rent]],Cdlac[[#This Row],[Restricted Rent]])),"")</f>
        <v>271.60000000000036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11</v>
      </c>
      <c r="N24" s="1071">
        <f>Application!AC722</f>
        <v>0.5</v>
      </c>
      <c r="O24" s="1071">
        <f>IF(Cdlac[[#This Row],[Quantity]]&gt;0,IF(Cdlac[[#This Row],[Federal]],30%,IF(AND(OR(NOT($G$38),$G$38=""),$G$43),40%,Cdlac[[#This Row],[iAMI]])),"")</f>
        <v>0.5</v>
      </c>
      <c r="P24" s="1065" cm="1">
        <f t="array" ref="P24">IF(Cdlac[[#This Row],[Quantity]]&gt;0,INDEX(TcacRents,$P$18,Cdlac[[#This Row],[Bedrooms]]+1)*Cdlac[[#This Row],[AMI]],"")</f>
        <v>2176</v>
      </c>
      <c r="Q24" s="1164"/>
      <c r="R24" s="1065" cm="1">
        <f t="array" ref="R24">IF(Cdlac[[#This Row],[Quantity]]&gt;0,INDEX(HudFmrs,$P$18,Cdlac[[#This Row],[Bedrooms]]+1),"")</f>
        <v>3318</v>
      </c>
      <c r="S24" s="1065">
        <f>IF(Cdlac[[#This Row],[Quantity]]&gt;0,MAX(0,Cdlac[[#This Row],[Fair Market Rent]]-IF(AND($G$37,$G$38,$G$38&lt;&gt;"",NOT(Cdlac[[#This Row],[Federal]]),Cdlac[[#This Row],[Preservation Rent]]&lt;&gt;""),Cdlac[[#This Row],[Preservation Rent]],Cdlac[[#This Row],[Restricted Rent]])),"")</f>
        <v>1142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3</v>
      </c>
      <c r="N25" s="1071">
        <f>Application!AC723</f>
        <v>0.3</v>
      </c>
      <c r="O25" s="1071">
        <f>IF(Cdlac[[#This Row],[Quantity]]&gt;0,IF(Cdlac[[#This Row],[Federal]],30%,IF(AND(OR(NOT($G$38),$G$38=""),$G$43),40%,Cdlac[[#This Row],[iAMI]])),"")</f>
        <v>0.3</v>
      </c>
      <c r="P25" s="1065" cm="1">
        <f t="array" ref="P25">IF(Cdlac[[#This Row],[Quantity]]&gt;0,INDEX(TcacRents,$P$18,Cdlac[[#This Row],[Bedrooms]]+1)*Cdlac[[#This Row],[AMI]],"")</f>
        <v>1305.5999999999999</v>
      </c>
      <c r="Q25" s="1164"/>
      <c r="R25" s="1065" cm="1">
        <f t="array" ref="R25">IF(Cdlac[[#This Row],[Quantity]]&gt;0,INDEX(HudFmrs,$P$18,Cdlac[[#This Row],[Bedrooms]]+1),"")</f>
        <v>3318</v>
      </c>
      <c r="S25" s="1065">
        <f>IF(Cdlac[[#This Row],[Quantity]]&gt;0,MAX(0,Cdlac[[#This Row],[Fair Market Rent]]-IF(AND($G$37,$G$38,$G$38&lt;&gt;"",NOT(Cdlac[[#This Row],[Federal]]),Cdlac[[#This Row],[Preservation Rent]]&lt;&gt;""),Cdlac[[#This Row],[Preservation Rent]],Cdlac[[#This Row],[Restricted Rent]])),"")</f>
        <v>2012.4</v>
      </c>
      <c r="T25" s="1044">
        <f>IF(Cdlac[[#This Row],[Quantity]]&gt;0,AND(Application!AK723&lt;&gt;"N/A",Application!AK723&lt;&gt;"")*Cdlac[[#This Row],[Quantity]],"")</f>
        <v>3</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18</v>
      </c>
      <c r="F26" s="1075">
        <f>SUM(E26:E28)-SUM(F27:F28)</f>
        <v>18</v>
      </c>
      <c r="G26" s="1072">
        <f>D26*F26</f>
        <v>22.5</v>
      </c>
      <c r="H26" s="1074"/>
      <c r="I26" s="1074"/>
      <c r="L26" s="1044">
        <f>IFERROR(MIN(4,MATCH(Application!B724,UnitSizes,0)-1),"")</f>
        <v>3</v>
      </c>
      <c r="M26" s="1065">
        <f>Application!G724</f>
        <v>4</v>
      </c>
      <c r="N26" s="1071">
        <f>Application!AC724</f>
        <v>0.7</v>
      </c>
      <c r="O26" s="1071">
        <f>IF(Cdlac[[#This Row],[Quantity]]&gt;0,IF(Cdlac[[#This Row],[Federal]],30%,IF(AND(OR(NOT($G$38),$G$38=""),$G$43),40%,Cdlac[[#This Row],[iAMI]])),"")</f>
        <v>0.7</v>
      </c>
      <c r="P26" s="1065" cm="1">
        <f t="array" ref="P26">IF(Cdlac[[#This Row],[Quantity]]&gt;0,INDEX(TcacRents,$P$18,Cdlac[[#This Row],[Bedrooms]]+1)*Cdlac[[#This Row],[AMI]],"")</f>
        <v>3519.6</v>
      </c>
      <c r="Q26" s="1164"/>
      <c r="R26" s="1065" cm="1">
        <f t="array" ref="R26">IF(Cdlac[[#This Row],[Quantity]]&gt;0,INDEX(HudFmrs,$P$18,Cdlac[[#This Row],[Bedrooms]]+1),"")</f>
        <v>4138</v>
      </c>
      <c r="S26" s="1065">
        <f>IF(Cdlac[[#This Row],[Quantity]]&gt;0,MAX(0,Cdlac[[#This Row],[Fair Market Rent]]-IF(AND($G$37,$G$38,$G$38&lt;&gt;"",NOT(Cdlac[[#This Row],[Federal]]),Cdlac[[#This Row],[Preservation Rent]]&lt;&gt;""),Cdlac[[#This Row],[Preservation Rent]],Cdlac[[#This Row],[Restricted Rent]])),"")</f>
        <v>618.40000000000009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16</v>
      </c>
      <c r="F27" s="1075">
        <f>MIN(E27,ROUNDDOWN(E29*30%,0))</f>
        <v>16</v>
      </c>
      <c r="G27" s="1072">
        <f>D27*F27</f>
        <v>24</v>
      </c>
      <c r="H27" s="1074"/>
      <c r="I27" s="1074"/>
      <c r="L27" s="1044">
        <f>IFERROR(MIN(4,MATCH(Application!B725,UnitSizes,0)-1),"")</f>
        <v>3</v>
      </c>
      <c r="M27" s="1065">
        <f>Application!G725</f>
        <v>9</v>
      </c>
      <c r="N27" s="1071">
        <f>Application!AC725</f>
        <v>0.5</v>
      </c>
      <c r="O27" s="1071">
        <f>IF(Cdlac[[#This Row],[Quantity]]&gt;0,IF(Cdlac[[#This Row],[Federal]],30%,IF(AND(OR(NOT($G$38),$G$38=""),$G$43),40%,Cdlac[[#This Row],[iAMI]])),"")</f>
        <v>0.5</v>
      </c>
      <c r="P27" s="1065" cm="1">
        <f t="array" ref="P27">IF(Cdlac[[#This Row],[Quantity]]&gt;0,INDEX(TcacRents,$P$18,Cdlac[[#This Row],[Bedrooms]]+1)*Cdlac[[#This Row],[AMI]],"")</f>
        <v>2514</v>
      </c>
      <c r="Q27" s="1164"/>
      <c r="R27" s="1065" cm="1">
        <f t="array" ref="R27">IF(Cdlac[[#This Row],[Quantity]]&gt;0,INDEX(HudFmrs,$P$18,Cdlac[[#This Row],[Bedrooms]]+1),"")</f>
        <v>4138</v>
      </c>
      <c r="S27" s="1065">
        <f>IF(Cdlac[[#This Row],[Quantity]]&gt;0,MAX(0,Cdlac[[#This Row],[Fair Market Rent]]-IF(AND($G$37,$G$38,$G$38&lt;&gt;"",NOT(Cdlac[[#This Row],[Federal]]),Cdlac[[#This Row],[Preservation Rent]]&lt;&gt;""),Cdlac[[#This Row],[Preservation Rent]],Cdlac[[#This Row],[Restricted Rent]])),"")</f>
        <v>1624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v>
      </c>
      <c r="N28" s="1071">
        <f>Application!AC726</f>
        <v>0.3</v>
      </c>
      <c r="O28" s="1071">
        <f>IF(Cdlac[[#This Row],[Quantity]]&gt;0,IF(Cdlac[[#This Row],[Federal]],30%,IF(AND(OR(NOT($G$38),$G$38=""),$G$43),40%,Cdlac[[#This Row],[iAMI]])),"")</f>
        <v>0.3</v>
      </c>
      <c r="P28" s="1065" cm="1">
        <f t="array" ref="P28">IF(Cdlac[[#This Row],[Quantity]]&gt;0,INDEX(TcacRents,$P$18,Cdlac[[#This Row],[Bedrooms]]+1)*Cdlac[[#This Row],[AMI]],"")</f>
        <v>1508.3999999999999</v>
      </c>
      <c r="Q28" s="1164"/>
      <c r="R28" s="1065" cm="1">
        <f t="array" ref="R28">IF(Cdlac[[#This Row],[Quantity]]&gt;0,INDEX(HudFmrs,$P$18,Cdlac[[#This Row],[Bedrooms]]+1),"")</f>
        <v>4138</v>
      </c>
      <c r="S28" s="1065">
        <f>IF(Cdlac[[#This Row],[Quantity]]&gt;0,MAX(0,Cdlac[[#This Row],[Fair Market Rent]]-IF(AND($G$37,$G$38,$G$38&lt;&gt;"",NOT(Cdlac[[#This Row],[Federal]]),Cdlac[[#This Row],[Preservation Rent]]&lt;&gt;""),Cdlac[[#This Row],[Preservation Rent]],Cdlac[[#This Row],[Restricted Rent]])),"")</f>
        <v>2629.6000000000004</v>
      </c>
      <c r="T28" s="1044">
        <f>IF(Cdlac[[#This Row],[Quantity]]&gt;0,AND(Application!AK726&lt;&gt;"N/A",Application!AK726&lt;&gt;"")*Cdlac[[#This Row],[Quantity]],"")</f>
        <v>3</v>
      </c>
      <c r="U28" s="1044" t="b">
        <f>AND('Subsidy Contract Calculation'!F12&gt;0,OR('Subsidy Contract Calculation'!C12="Federal",'Subsidy Contract Calculation'!C12="Local - Approved by ED"),Cdlac[[#This Row],[Quantity]]&gt;0)</f>
        <v>0</v>
      </c>
    </row>
    <row r="29" spans="1:21" ht="15" customHeight="1">
      <c r="A29" s="1074"/>
      <c r="C29" s="2654" t="s">
        <v>1586</v>
      </c>
      <c r="D29" s="2655"/>
      <c r="E29" s="1089">
        <f>SUM(E24:E28)</f>
        <v>64</v>
      </c>
      <c r="F29" s="1089">
        <f>SUM(F24:F28)</f>
        <v>64</v>
      </c>
      <c r="G29" s="1090">
        <f>SUMPRODUCT(D24:D28,F24:F28)</f>
        <v>76.5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76.5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3825000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0.484375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78750.400000000009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14175072.000000002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17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17</v>
      </c>
    </row>
    <row r="61" spans="2:21" ht="15" customHeight="1">
      <c r="E61" s="1117" t="s">
        <v>1994</v>
      </c>
      <c r="G61" s="1079">
        <f>ROUNDDOWN(E29*50%,0)</f>
        <v>32</v>
      </c>
    </row>
    <row r="62" spans="2:21" ht="15" customHeight="1">
      <c r="E62" s="1117"/>
      <c r="G62" s="1079"/>
    </row>
    <row r="63" spans="2:21" ht="15" customHeight="1">
      <c r="E63" s="1117" t="s">
        <v>1954</v>
      </c>
      <c r="G63" s="1114">
        <f>MIN(G60:G61)</f>
        <v>17</v>
      </c>
    </row>
    <row r="64" spans="2:21" ht="15" customHeight="1">
      <c r="E64" s="1117" t="s">
        <v>1944</v>
      </c>
      <c r="F64" s="1113" t="s">
        <v>1992</v>
      </c>
      <c r="G64" s="1124">
        <v>20000</v>
      </c>
    </row>
    <row r="65" spans="2:14" ht="15" customHeight="1">
      <c r="E65" s="1118" t="s">
        <v>1976</v>
      </c>
      <c r="F65" s="1046"/>
      <c r="G65" s="1123">
        <f>G63*G64</f>
        <v>340000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Highest Resource</v>
      </c>
      <c r="L72" s="2665" t="s">
        <v>1969</v>
      </c>
      <c r="M72" s="2666"/>
      <c r="N72" s="1131">
        <v>30000</v>
      </c>
    </row>
    <row r="73" spans="2:14" ht="15" customHeight="1">
      <c r="C73" s="2667" t="s">
        <v>2261</v>
      </c>
      <c r="D73" s="2667"/>
      <c r="E73" s="2667"/>
      <c r="F73" s="2667"/>
      <c r="G73" s="1043" t="s">
        <v>669</v>
      </c>
      <c r="L73" s="2676" t="s">
        <v>1937</v>
      </c>
      <c r="M73" s="2677"/>
      <c r="N73" s="1132">
        <v>20000</v>
      </c>
    </row>
    <row r="74" spans="2:14" ht="15" customHeight="1" thickBot="1">
      <c r="C74" s="2667"/>
      <c r="D74" s="2667"/>
      <c r="E74" s="2667"/>
      <c r="F74" s="2667"/>
      <c r="L74" s="2678" t="s">
        <v>1970</v>
      </c>
      <c r="M74" s="2679"/>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76.5</v>
      </c>
    </row>
    <row r="80" spans="2:14" ht="15" customHeight="1">
      <c r="D80" s="1046"/>
      <c r="E80" s="1118" t="s">
        <v>2266</v>
      </c>
      <c r="F80" s="1046"/>
      <c r="G80" s="1123">
        <f>G79*G78*G76</f>
        <v>2295000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76.5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76.5</v>
      </c>
    </row>
    <row r="97" spans="2:14" ht="15" customHeight="1">
      <c r="E97" s="1118" t="s">
        <v>1961</v>
      </c>
      <c r="F97" s="1046"/>
      <c r="G97" s="1123">
        <f>G94*G95*G96</f>
        <v>2142000</v>
      </c>
      <c r="L97" s="1127" t="str">
        <f>'Points System'!H638</f>
        <v>(i)</v>
      </c>
      <c r="M97" s="2684" t="s">
        <v>1405</v>
      </c>
      <c r="N97" s="2685"/>
    </row>
    <row r="98" spans="2:14" ht="15" customHeight="1">
      <c r="C98" s="1077"/>
      <c r="G98" s="1114"/>
      <c r="L98" s="1128" t="str">
        <f>'Points System'!H650</f>
        <v>N/A</v>
      </c>
      <c r="M98" s="2680" t="s">
        <v>1956</v>
      </c>
      <c r="N98" s="2681"/>
    </row>
    <row r="99" spans="2:14" ht="15" customHeight="1">
      <c r="E99" s="1084" t="s">
        <v>1997</v>
      </c>
      <c r="G99" s="1126">
        <f>COUNTIFS(L97:L104,"(i)")</f>
        <v>4</v>
      </c>
      <c r="L99" s="1128" t="str">
        <f>'Points System'!H685</f>
        <v>(i)</v>
      </c>
      <c r="M99" s="2680" t="s">
        <v>1957</v>
      </c>
      <c r="N99" s="2681"/>
    </row>
    <row r="100" spans="2:14" ht="15" customHeight="1">
      <c r="E100" s="1084" t="s">
        <v>1944</v>
      </c>
      <c r="F100" s="1113" t="s">
        <v>1992</v>
      </c>
      <c r="G100" s="1124">
        <v>4000</v>
      </c>
      <c r="L100" s="1128" t="str">
        <f>IF(OR('Points System'!H709="(ii)",'Points System'!H709="(i)"),"(i)","N/A")</f>
        <v>(i)</v>
      </c>
      <c r="M100" s="2680" t="s">
        <v>1958</v>
      </c>
      <c r="N100" s="2681"/>
    </row>
    <row r="101" spans="2:14" ht="15" customHeight="1">
      <c r="E101" s="1118" t="s">
        <v>1962</v>
      </c>
      <c r="F101" s="1046"/>
      <c r="G101" s="1123">
        <f>G96*G99*G100</f>
        <v>1224000</v>
      </c>
      <c r="L101" s="1129" t="str">
        <f>'Points System'!H723</f>
        <v>N/A</v>
      </c>
      <c r="M101" s="2680" t="s">
        <v>1431</v>
      </c>
      <c r="N101" s="2681"/>
    </row>
    <row r="102" spans="2:14" ht="15" customHeight="1">
      <c r="L102" s="1128" t="str">
        <f>'Points System'!H735</f>
        <v>N/A</v>
      </c>
      <c r="M102" s="2680" t="s">
        <v>1959</v>
      </c>
      <c r="N102" s="2681"/>
    </row>
    <row r="103" spans="2:14" ht="15" customHeight="1">
      <c r="C103" s="1080" t="s">
        <v>1964</v>
      </c>
      <c r="L103" s="1128" t="str">
        <f>'Points System'!H751</f>
        <v>N/A</v>
      </c>
      <c r="M103" s="2680" t="s">
        <v>1960</v>
      </c>
      <c r="N103" s="2681"/>
    </row>
    <row r="104" spans="2:14" ht="15" customHeight="1" thickBot="1">
      <c r="C104" s="1077" t="s">
        <v>1965</v>
      </c>
      <c r="G104" s="1043"/>
      <c r="L104" s="1130" t="str">
        <f>'Points System'!H763</f>
        <v>(i)</v>
      </c>
      <c r="M104" s="2682" t="s">
        <v>1434</v>
      </c>
      <c r="N104" s="2683"/>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76.5</v>
      </c>
    </row>
    <row r="112" spans="2:14" ht="15" customHeight="1">
      <c r="E112" s="1084" t="s">
        <v>1944</v>
      </c>
      <c r="F112" s="1113" t="s">
        <v>1992</v>
      </c>
      <c r="G112" s="1124">
        <v>25000</v>
      </c>
    </row>
    <row r="113" spans="2:9" ht="15" customHeight="1">
      <c r="E113" s="1118" t="s">
        <v>1963</v>
      </c>
      <c r="F113" s="1046"/>
      <c r="G113" s="1123">
        <f>G109*G112*G96</f>
        <v>1912500</v>
      </c>
    </row>
    <row r="114" spans="2:9" ht="15" customHeight="1">
      <c r="C114" s="1077"/>
      <c r="E114" s="1077"/>
    </row>
    <row r="115" spans="2:9" ht="15" customHeight="1">
      <c r="E115" s="1118" t="s">
        <v>2271</v>
      </c>
      <c r="G115" s="1123">
        <f>G113+G101+G97</f>
        <v>5278500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2226</v>
      </c>
      <c r="D119" s="2656"/>
      <c r="E119" s="2656"/>
      <c r="F119" s="2656"/>
    </row>
    <row r="120" spans="2:9" ht="15" customHeight="1">
      <c r="C120" s="2656"/>
      <c r="D120" s="2656"/>
      <c r="E120" s="2656"/>
      <c r="F120" s="2656"/>
      <c r="G120" s="1043" t="s">
        <v>545</v>
      </c>
    </row>
    <row r="121" spans="2:9" ht="15" customHeight="1"/>
    <row r="122" spans="2:9" ht="15" customHeight="1">
      <c r="C122" s="1044" t="s">
        <v>2228</v>
      </c>
      <c r="G122" s="2658" t="s">
        <v>2735</v>
      </c>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Mateo</v>
      </c>
    </row>
    <row r="129" spans="2:9">
      <c r="E129" s="1084"/>
      <c r="G129" s="1078"/>
    </row>
    <row r="130" spans="2:9">
      <c r="E130" s="1084" t="str">
        <f>"2-Bedroom "&amp;G128&amp;" County Basis Limit"</f>
        <v>2-Bedroom San Mateo County Basis Limit</v>
      </c>
      <c r="G130" s="1078">
        <f>Application!R988</f>
        <v>740000</v>
      </c>
    </row>
    <row r="131" spans="2:9">
      <c r="E131" s="1084" t="s">
        <v>2000</v>
      </c>
      <c r="G131" s="1078">
        <f>MEDIAN((Application!CU160:CU217))</f>
        <v>489600</v>
      </c>
    </row>
    <row r="132" spans="2:9" ht="15">
      <c r="D132" s="1046"/>
      <c r="E132" s="1118" t="s">
        <v>2002</v>
      </c>
      <c r="F132" s="1134"/>
      <c r="G132" s="1135">
        <f>((G130-G131)/G131)*0.25</f>
        <v>0.127859477124183</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1" t="s">
        <v>2274</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2400000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909</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4</v>
      </c>
      <c r="C4" s="1162"/>
      <c r="D4" s="428">
        <f>Application!O718</f>
        <v>2453</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15</v>
      </c>
      <c r="C5" s="1162"/>
      <c r="D5" s="428">
        <f>Application!O719</f>
        <v>1727</v>
      </c>
      <c r="E5" s="429"/>
      <c r="F5" s="1083"/>
      <c r="G5" s="428">
        <f t="shared" ref="G5:G38" si="2">F5*B5</f>
        <v>0</v>
      </c>
      <c r="H5" s="429"/>
      <c r="I5" s="428" t="str">
        <f t="shared" si="0"/>
        <v/>
      </c>
      <c r="J5" s="428" t="str">
        <f t="shared" si="1"/>
        <v/>
      </c>
      <c r="K5" s="204"/>
      <c r="L5" s="305"/>
    </row>
    <row r="6" spans="1:12">
      <c r="A6" s="428" t="str">
        <f>Application!B720</f>
        <v>1 Bedroom</v>
      </c>
      <c r="B6" s="1082">
        <f>Application!G720</f>
        <v>11</v>
      </c>
      <c r="C6" s="1162"/>
      <c r="D6" s="428">
        <f>Application!O720</f>
        <v>276.60000000000002</v>
      </c>
      <c r="E6" s="429"/>
      <c r="F6" s="1083"/>
      <c r="G6" s="428">
        <f t="shared" si="2"/>
        <v>0</v>
      </c>
      <c r="H6" s="429"/>
      <c r="I6" s="428" t="str">
        <f t="shared" si="0"/>
        <v/>
      </c>
      <c r="J6" s="428" t="str">
        <f t="shared" si="1"/>
        <v/>
      </c>
      <c r="K6" s="204"/>
      <c r="L6" s="305"/>
    </row>
    <row r="7" spans="1:12">
      <c r="A7" s="428" t="str">
        <f>Application!B721</f>
        <v>2 Bedrooms</v>
      </c>
      <c r="B7" s="1082">
        <f>Application!G721</f>
        <v>4</v>
      </c>
      <c r="C7" s="1162"/>
      <c r="D7" s="428">
        <f>Application!O721</f>
        <v>2927.4</v>
      </c>
      <c r="E7" s="429"/>
      <c r="F7" s="1083"/>
      <c r="G7" s="428">
        <f t="shared" si="2"/>
        <v>0</v>
      </c>
      <c r="H7" s="429"/>
      <c r="I7" s="428" t="str">
        <f t="shared" si="0"/>
        <v/>
      </c>
      <c r="J7" s="428" t="str">
        <f t="shared" si="1"/>
        <v/>
      </c>
      <c r="K7" s="204"/>
      <c r="L7" s="305"/>
    </row>
    <row r="8" spans="1:12">
      <c r="A8" s="428" t="str">
        <f>Application!B722</f>
        <v>2 Bedrooms</v>
      </c>
      <c r="B8" s="1082">
        <f>Application!G722</f>
        <v>11</v>
      </c>
      <c r="C8" s="1162"/>
      <c r="D8" s="428">
        <f>Application!O722</f>
        <v>2057</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158.1</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3362.6</v>
      </c>
      <c r="E10" s="429"/>
      <c r="F10" s="1083"/>
      <c r="G10" s="428">
        <f t="shared" si="2"/>
        <v>0</v>
      </c>
      <c r="H10" s="429"/>
      <c r="I10" s="428" t="str">
        <f t="shared" si="0"/>
        <v/>
      </c>
      <c r="J10" s="428" t="str">
        <f t="shared" si="1"/>
        <v/>
      </c>
      <c r="K10" s="204"/>
      <c r="L10" s="305"/>
    </row>
    <row r="11" spans="1:12">
      <c r="A11" s="428" t="str">
        <f>Application!B725</f>
        <v>3 Bedrooms</v>
      </c>
      <c r="B11" s="1082">
        <f>Application!G725</f>
        <v>9</v>
      </c>
      <c r="C11" s="1162"/>
      <c r="D11" s="428">
        <f>Application!O725</f>
        <v>2357</v>
      </c>
      <c r="E11" s="429"/>
      <c r="F11" s="1083"/>
      <c r="G11" s="428">
        <f t="shared" si="2"/>
        <v>0</v>
      </c>
      <c r="H11" s="429"/>
      <c r="I11" s="428" t="str">
        <f t="shared" si="0"/>
        <v/>
      </c>
      <c r="J11" s="428" t="str">
        <f t="shared" si="1"/>
        <v/>
      </c>
      <c r="K11" s="204"/>
      <c r="L11" s="305"/>
    </row>
    <row r="12" spans="1:12">
      <c r="A12" s="428" t="str">
        <f>Application!B726</f>
        <v>3 Bedrooms</v>
      </c>
      <c r="B12" s="1082">
        <f>Application!G726</f>
        <v>3</v>
      </c>
      <c r="C12" s="1162"/>
      <c r="D12" s="428">
        <f>Application!O726</f>
        <v>172.9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108752.59999999999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87" t="s">
        <v>2495</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2257</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4" zoomScale="80" zoomScaleNormal="80" workbookViewId="0">
      <selection activeCell="AH45" sqref="AH45"/>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1305031.2</v>
      </c>
      <c r="G4" s="219">
        <f>E4*$C$4</f>
        <v>1337656.9799999997</v>
      </c>
      <c r="I4" s="219">
        <f>G4*$C$4</f>
        <v>1371098.4044999997</v>
      </c>
      <c r="K4" s="219">
        <f>I4*$C$4</f>
        <v>1405375.8646124995</v>
      </c>
      <c r="M4" s="219">
        <f>K4*$C$4</f>
        <v>1440510.2612278119</v>
      </c>
      <c r="O4" s="219">
        <f>M4*$C$4</f>
        <v>1476523.017758507</v>
      </c>
      <c r="Q4" s="219">
        <f>O4*$C$4</f>
        <v>1513436.0932024696</v>
      </c>
      <c r="S4" s="219">
        <f>Q4*$C$4</f>
        <v>1551271.9955325313</v>
      </c>
      <c r="U4" s="219">
        <f>S4*$C$4</f>
        <v>1590053.7954208443</v>
      </c>
      <c r="W4" s="219">
        <f>U4*$C$4</f>
        <v>1629805.1403063652</v>
      </c>
      <c r="Y4" s="219">
        <f>W4*$C$4</f>
        <v>1670550.2688140243</v>
      </c>
      <c r="AA4" s="219">
        <f>Y4*$C$4</f>
        <v>1712314.0255343746</v>
      </c>
      <c r="AC4" s="219">
        <f>AA4*$C$4</f>
        <v>1755121.876172734</v>
      </c>
      <c r="AE4" s="219">
        <f>AC4*$C$4</f>
        <v>1798999.9230770522</v>
      </c>
      <c r="AG4" s="219">
        <f>AE4*$C$4</f>
        <v>1843974.9211539784</v>
      </c>
    </row>
    <row r="5" spans="1:34" s="210" customFormat="1" ht="14.25">
      <c r="B5" s="210" t="s">
        <v>838</v>
      </c>
      <c r="C5" s="238">
        <f>IF(Application!$D$211="Special Needs",(((0.1*Application!$T$212)+(0.05*(1-Application!$T$212)))),0.05)</f>
        <v>0.05</v>
      </c>
      <c r="E5" s="221">
        <f>-E4*$C$5</f>
        <v>-65251.56</v>
      </c>
      <c r="F5" s="221"/>
      <c r="G5" s="221">
        <f>-G4*$C$5</f>
        <v>-66882.848999999987</v>
      </c>
      <c r="H5" s="221"/>
      <c r="I5" s="221">
        <f>-I4*$C$5</f>
        <v>-68554.920224999994</v>
      </c>
      <c r="J5" s="221"/>
      <c r="K5" s="221">
        <f>-K4*$C$5</f>
        <v>-70268.793230624971</v>
      </c>
      <c r="L5" s="221"/>
      <c r="M5" s="221">
        <f>-M4*$C$5</f>
        <v>-72025.513061390593</v>
      </c>
      <c r="N5" s="221"/>
      <c r="O5" s="221">
        <f>-O4*$C$5</f>
        <v>-73826.150887925352</v>
      </c>
      <c r="P5" s="221"/>
      <c r="Q5" s="221">
        <f>-Q4*$C$5</f>
        <v>-75671.804660123482</v>
      </c>
      <c r="R5" s="221"/>
      <c r="S5" s="221">
        <f>-S4*$C$5</f>
        <v>-77563.599776626565</v>
      </c>
      <c r="T5" s="221"/>
      <c r="U5" s="221">
        <f>-U4*$C$5</f>
        <v>-79502.68977104222</v>
      </c>
      <c r="V5" s="221"/>
      <c r="W5" s="221">
        <f>-W4*$C$5</f>
        <v>-81490.257015318261</v>
      </c>
      <c r="X5" s="221"/>
      <c r="Y5" s="221">
        <f>-Y4*$C$5</f>
        <v>-83527.513440701223</v>
      </c>
      <c r="Z5" s="221"/>
      <c r="AA5" s="221">
        <f>-AA4*$C$5</f>
        <v>-85615.701276718741</v>
      </c>
      <c r="AB5" s="221"/>
      <c r="AC5" s="221">
        <f>-AC4*$C$5</f>
        <v>-87756.09380863671</v>
      </c>
      <c r="AD5" s="221"/>
      <c r="AE5" s="221">
        <f>-AE4*$C$5</f>
        <v>-89949.996153852611</v>
      </c>
      <c r="AF5" s="221"/>
      <c r="AG5" s="221">
        <f>-AG4*$C$5</f>
        <v>-92198.746057698925</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12480</v>
      </c>
      <c r="F8" s="222"/>
      <c r="G8" s="222">
        <f>E8*$C$8</f>
        <v>12791.999999999998</v>
      </c>
      <c r="H8" s="222"/>
      <c r="I8" s="222">
        <f>G8*$C$8</f>
        <v>13111.799999999997</v>
      </c>
      <c r="J8" s="222"/>
      <c r="K8" s="222">
        <f>I8*$C$8</f>
        <v>13439.594999999996</v>
      </c>
      <c r="L8" s="222"/>
      <c r="M8" s="222">
        <f>K8*$C$8</f>
        <v>13775.584874999995</v>
      </c>
      <c r="N8" s="222"/>
      <c r="O8" s="222">
        <f>M8*$C$8</f>
        <v>14119.974496874993</v>
      </c>
      <c r="P8" s="222"/>
      <c r="Q8" s="222">
        <f>O8*$C$8</f>
        <v>14472.973859296866</v>
      </c>
      <c r="R8" s="222"/>
      <c r="S8" s="222">
        <f>Q8*$C$8</f>
        <v>14834.798205779287</v>
      </c>
      <c r="T8" s="222"/>
      <c r="U8" s="222">
        <f>S8*$C$8</f>
        <v>15205.668160923768</v>
      </c>
      <c r="V8" s="222"/>
      <c r="W8" s="222">
        <f>U8*$C$8</f>
        <v>15585.809864946861</v>
      </c>
      <c r="X8" s="222"/>
      <c r="Y8" s="222">
        <f>W8*$C$8</f>
        <v>15975.455111570531</v>
      </c>
      <c r="Z8" s="222"/>
      <c r="AA8" s="222">
        <f>Y8*$C$8</f>
        <v>16374.841489359793</v>
      </c>
      <c r="AB8" s="222"/>
      <c r="AC8" s="222">
        <f>AA8*$C$8</f>
        <v>16784.212526593787</v>
      </c>
      <c r="AD8" s="222"/>
      <c r="AE8" s="222">
        <f>AC8*$C$8</f>
        <v>17203.817839758631</v>
      </c>
      <c r="AF8" s="222"/>
      <c r="AG8" s="222">
        <f>AE8*$C$8</f>
        <v>17633.913285752595</v>
      </c>
    </row>
    <row r="9" spans="1:34" s="210" customFormat="1" ht="14.25">
      <c r="B9" s="210" t="s">
        <v>838</v>
      </c>
      <c r="C9" s="238">
        <f>IF(Application!$D$211="Special Needs",(((0.1*Application!$T$212)+(0.05*(1-Application!$T$212)))),0.05)</f>
        <v>0.05</v>
      </c>
      <c r="E9" s="221">
        <f>-E8*$C$9</f>
        <v>-624</v>
      </c>
      <c r="F9" s="221"/>
      <c r="G9" s="221">
        <f>-G8*$C$9</f>
        <v>-639.59999999999991</v>
      </c>
      <c r="H9" s="221"/>
      <c r="I9" s="221">
        <f>-I8*$C$9</f>
        <v>-655.58999999999992</v>
      </c>
      <c r="J9" s="221"/>
      <c r="K9" s="221">
        <f>-K8*$C$9</f>
        <v>-671.97974999999985</v>
      </c>
      <c r="L9" s="221"/>
      <c r="M9" s="221">
        <f>-M8*$C$9</f>
        <v>-688.77924374999975</v>
      </c>
      <c r="N9" s="221"/>
      <c r="O9" s="221">
        <f>-O8*$C$9</f>
        <v>-705.99872484374964</v>
      </c>
      <c r="P9" s="221"/>
      <c r="Q9" s="221">
        <f>-Q8*$C$9</f>
        <v>-723.64869296484335</v>
      </c>
      <c r="R9" s="221"/>
      <c r="S9" s="221">
        <f>-S8*$C$9</f>
        <v>-741.73991028896444</v>
      </c>
      <c r="T9" s="221"/>
      <c r="U9" s="221">
        <f>-U8*$C$9</f>
        <v>-760.28340804618847</v>
      </c>
      <c r="V9" s="221"/>
      <c r="W9" s="221">
        <f>-W8*$C$9</f>
        <v>-779.29049324734308</v>
      </c>
      <c r="X9" s="221"/>
      <c r="Y9" s="221">
        <f>-Y8*$C$9</f>
        <v>-798.77275557852658</v>
      </c>
      <c r="Z9" s="221"/>
      <c r="AA9" s="221">
        <f>-AA8*$C$9</f>
        <v>-818.74207446798971</v>
      </c>
      <c r="AB9" s="221"/>
      <c r="AC9" s="221">
        <f>-AC8*$C$9</f>
        <v>-839.21062632968938</v>
      </c>
      <c r="AD9" s="221"/>
      <c r="AE9" s="221">
        <f>-AE8*$C$9</f>
        <v>-860.19089198793154</v>
      </c>
      <c r="AF9" s="221"/>
      <c r="AG9" s="221">
        <f>-AG8*$C$9</f>
        <v>-881.69566428762982</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1251635.6399999999</v>
      </c>
      <c r="G11" s="223">
        <f>SUM(G4:G10)</f>
        <v>1282926.5309999997</v>
      </c>
      <c r="I11" s="223">
        <f>SUM(I4:I10)</f>
        <v>1314999.6942749997</v>
      </c>
      <c r="K11" s="223">
        <f>SUM(K4:K10)</f>
        <v>1347874.6866318746</v>
      </c>
      <c r="M11" s="223">
        <f>SUM(M4:M10)</f>
        <v>1381571.5537976713</v>
      </c>
      <c r="O11" s="223">
        <f>SUM(O4:O10)</f>
        <v>1416110.8426426128</v>
      </c>
      <c r="Q11" s="223">
        <f>SUM(Q4:Q10)</f>
        <v>1451513.6137086782</v>
      </c>
      <c r="S11" s="223">
        <f>SUM(S4:S10)</f>
        <v>1487801.4540513952</v>
      </c>
      <c r="U11" s="223">
        <f>SUM(U4:U10)</f>
        <v>1524996.4904026797</v>
      </c>
      <c r="W11" s="223">
        <f>SUM(W4:W10)</f>
        <v>1563121.4026627466</v>
      </c>
      <c r="Y11" s="223">
        <f>SUM(Y4:Y10)</f>
        <v>1602199.4377293149</v>
      </c>
      <c r="AA11" s="223">
        <f>SUM(AA4:AA10)</f>
        <v>1642254.4236725478</v>
      </c>
      <c r="AC11" s="223">
        <f>SUM(AC4:AC10)</f>
        <v>1683310.7842643613</v>
      </c>
      <c r="AE11" s="223">
        <f>SUM(AE4:AE10)</f>
        <v>1725393.5538709704</v>
      </c>
      <c r="AG11" s="223">
        <f>SUM(AG4:AG10)</f>
        <v>1768528.3927177445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53000</v>
      </c>
      <c r="G15" s="219">
        <f>E15*$C$14</f>
        <v>54854.999999999993</v>
      </c>
      <c r="I15" s="219">
        <f>G15*$C$14</f>
        <v>56774.924999999988</v>
      </c>
      <c r="K15" s="219">
        <f>I15*$C$14</f>
        <v>58762.04737499998</v>
      </c>
      <c r="M15" s="219">
        <f>K15*$C$14</f>
        <v>60818.719033124973</v>
      </c>
      <c r="O15" s="219">
        <f>M15*$C$14</f>
        <v>62947.374199284342</v>
      </c>
      <c r="Q15" s="219">
        <f>O15*$C$14</f>
        <v>65150.532296259291</v>
      </c>
      <c r="S15" s="219">
        <f>Q15*$C$14</f>
        <v>67430.800926628363</v>
      </c>
      <c r="U15" s="219">
        <f>S15*$C$14</f>
        <v>69790.878959060356</v>
      </c>
      <c r="W15" s="219">
        <f>U15*$C$14</f>
        <v>72233.559722627469</v>
      </c>
      <c r="Y15" s="219">
        <f>W15*$C$14</f>
        <v>74761.73431291942</v>
      </c>
      <c r="AA15" s="219">
        <f>Y15*$C$14</f>
        <v>77378.395013871588</v>
      </c>
      <c r="AC15" s="219">
        <f>AA15*$C$14</f>
        <v>80086.638839357081</v>
      </c>
      <c r="AE15" s="219">
        <f>AC15*$C$14</f>
        <v>82889.671198734577</v>
      </c>
      <c r="AG15" s="219">
        <f>AE15*$C$14</f>
        <v>85790.809690690279</v>
      </c>
    </row>
    <row r="16" spans="1:34" s="210" customFormat="1" ht="14.25">
      <c r="A16" s="210" t="s">
        <v>344</v>
      </c>
      <c r="C16" s="233"/>
      <c r="E16" s="222">
        <f>Application!W849</f>
        <v>78000</v>
      </c>
      <c r="F16" s="222"/>
      <c r="G16" s="222">
        <f t="shared" ref="G16:AG21" si="0">E16*$C$14</f>
        <v>80730</v>
      </c>
      <c r="H16" s="222"/>
      <c r="I16" s="222">
        <f t="shared" si="0"/>
        <v>83555.549999999988</v>
      </c>
      <c r="J16" s="222"/>
      <c r="K16" s="222">
        <f t="shared" si="0"/>
        <v>86479.994249999974</v>
      </c>
      <c r="L16" s="222"/>
      <c r="M16" s="222">
        <f t="shared" si="0"/>
        <v>89506.794048749973</v>
      </c>
      <c r="N16" s="222"/>
      <c r="O16" s="222">
        <f t="shared" si="0"/>
        <v>92639.531840456213</v>
      </c>
      <c r="P16" s="222"/>
      <c r="Q16" s="222">
        <f t="shared" si="0"/>
        <v>95881.915454872171</v>
      </c>
      <c r="R16" s="222"/>
      <c r="S16" s="222">
        <f t="shared" si="0"/>
        <v>99237.782495792693</v>
      </c>
      <c r="T16" s="222"/>
      <c r="U16" s="222">
        <f t="shared" si="0"/>
        <v>102711.10488314542</v>
      </c>
      <c r="V16" s="222"/>
      <c r="W16" s="222">
        <f t="shared" si="0"/>
        <v>106305.9935540555</v>
      </c>
      <c r="X16" s="222"/>
      <c r="Y16" s="222">
        <f t="shared" si="0"/>
        <v>110026.70332844743</v>
      </c>
      <c r="Z16" s="222"/>
      <c r="AA16" s="222">
        <f t="shared" si="0"/>
        <v>113877.63794494308</v>
      </c>
      <c r="AB16" s="222"/>
      <c r="AC16" s="222">
        <f t="shared" si="0"/>
        <v>117863.35527301609</v>
      </c>
      <c r="AD16" s="222"/>
      <c r="AE16" s="222">
        <f t="shared" si="0"/>
        <v>121988.57270757164</v>
      </c>
      <c r="AF16" s="222"/>
      <c r="AG16" s="222">
        <f t="shared" si="0"/>
        <v>126258.17275233664</v>
      </c>
    </row>
    <row r="17" spans="1:33" s="210" customFormat="1" ht="14.25">
      <c r="A17" s="210" t="s">
        <v>561</v>
      </c>
      <c r="C17" s="233"/>
      <c r="E17" s="222">
        <f>Application!W855</f>
        <v>160000</v>
      </c>
      <c r="F17" s="222"/>
      <c r="G17" s="222">
        <f t="shared" si="0"/>
        <v>165600</v>
      </c>
      <c r="H17" s="222"/>
      <c r="I17" s="222">
        <f t="shared" si="0"/>
        <v>171396</v>
      </c>
      <c r="J17" s="222"/>
      <c r="K17" s="222">
        <f t="shared" si="0"/>
        <v>177394.86</v>
      </c>
      <c r="L17" s="222"/>
      <c r="M17" s="222">
        <f t="shared" si="0"/>
        <v>183603.68009999997</v>
      </c>
      <c r="N17" s="222"/>
      <c r="O17" s="222">
        <f t="shared" si="0"/>
        <v>190029.80890349994</v>
      </c>
      <c r="P17" s="222"/>
      <c r="Q17" s="222">
        <f t="shared" si="0"/>
        <v>196680.85221512243</v>
      </c>
      <c r="R17" s="222"/>
      <c r="S17" s="222">
        <f t="shared" si="0"/>
        <v>203564.68204265169</v>
      </c>
      <c r="T17" s="222"/>
      <c r="U17" s="222">
        <f t="shared" si="0"/>
        <v>210689.44591414448</v>
      </c>
      <c r="V17" s="222"/>
      <c r="W17" s="222">
        <f t="shared" si="0"/>
        <v>218063.57652113953</v>
      </c>
      <c r="X17" s="222"/>
      <c r="Y17" s="222">
        <f t="shared" si="0"/>
        <v>225695.8016993794</v>
      </c>
      <c r="Z17" s="222"/>
      <c r="AA17" s="222">
        <f t="shared" si="0"/>
        <v>233595.15475885765</v>
      </c>
      <c r="AB17" s="222"/>
      <c r="AC17" s="222">
        <f t="shared" si="0"/>
        <v>241770.98517541765</v>
      </c>
      <c r="AD17" s="222"/>
      <c r="AE17" s="222">
        <f t="shared" si="0"/>
        <v>250232.96965655725</v>
      </c>
      <c r="AF17" s="222"/>
      <c r="AG17" s="222">
        <f t="shared" si="0"/>
        <v>258991.12359453674</v>
      </c>
    </row>
    <row r="18" spans="1:33" s="210" customFormat="1" ht="14.25">
      <c r="A18" s="210" t="s">
        <v>842</v>
      </c>
      <c r="C18" s="233"/>
      <c r="E18" s="222">
        <f>Application!W862</f>
        <v>250435</v>
      </c>
      <c r="F18" s="222"/>
      <c r="G18" s="222">
        <f t="shared" si="0"/>
        <v>259200.22499999998</v>
      </c>
      <c r="H18" s="222"/>
      <c r="I18" s="222">
        <f t="shared" si="0"/>
        <v>268272.23287499993</v>
      </c>
      <c r="J18" s="222"/>
      <c r="K18" s="222">
        <f t="shared" si="0"/>
        <v>277661.76102562493</v>
      </c>
      <c r="L18" s="222"/>
      <c r="M18" s="222">
        <f t="shared" si="0"/>
        <v>287379.92266152176</v>
      </c>
      <c r="N18" s="222"/>
      <c r="O18" s="222">
        <f t="shared" si="0"/>
        <v>297438.21995467501</v>
      </c>
      <c r="P18" s="222"/>
      <c r="Q18" s="222">
        <f t="shared" si="0"/>
        <v>307848.55765308859</v>
      </c>
      <c r="R18" s="222"/>
      <c r="S18" s="222">
        <f t="shared" si="0"/>
        <v>318623.25717094669</v>
      </c>
      <c r="T18" s="222"/>
      <c r="U18" s="222">
        <f t="shared" si="0"/>
        <v>329775.07117192977</v>
      </c>
      <c r="V18" s="222"/>
      <c r="W18" s="222">
        <f t="shared" si="0"/>
        <v>341317.19866294728</v>
      </c>
      <c r="X18" s="222"/>
      <c r="Y18" s="222">
        <f t="shared" si="0"/>
        <v>353263.30061615043</v>
      </c>
      <c r="Z18" s="222"/>
      <c r="AA18" s="222">
        <f t="shared" si="0"/>
        <v>365627.51613771566</v>
      </c>
      <c r="AB18" s="222"/>
      <c r="AC18" s="222">
        <f t="shared" si="0"/>
        <v>378424.4792025357</v>
      </c>
      <c r="AD18" s="222"/>
      <c r="AE18" s="222">
        <f t="shared" si="0"/>
        <v>391669.33597462444</v>
      </c>
      <c r="AF18" s="222"/>
      <c r="AG18" s="222">
        <f t="shared" si="0"/>
        <v>405377.76273373625</v>
      </c>
    </row>
    <row r="19" spans="1:33" s="210" customFormat="1" ht="14.25">
      <c r="A19" s="210" t="s">
        <v>155</v>
      </c>
      <c r="C19" s="233"/>
      <c r="E19" s="222">
        <f>Application!W863</f>
        <v>96000</v>
      </c>
      <c r="F19" s="222"/>
      <c r="G19" s="222">
        <f t="shared" si="0"/>
        <v>99359.999999999985</v>
      </c>
      <c r="H19" s="222"/>
      <c r="I19" s="222">
        <f t="shared" si="0"/>
        <v>102837.59999999998</v>
      </c>
      <c r="J19" s="222"/>
      <c r="K19" s="222">
        <f t="shared" si="0"/>
        <v>106436.91599999997</v>
      </c>
      <c r="L19" s="222"/>
      <c r="M19" s="222">
        <f t="shared" si="0"/>
        <v>110162.20805999996</v>
      </c>
      <c r="N19" s="222"/>
      <c r="O19" s="222">
        <f t="shared" si="0"/>
        <v>114017.88534209995</v>
      </c>
      <c r="P19" s="222"/>
      <c r="Q19" s="222">
        <f t="shared" si="0"/>
        <v>118008.51132907344</v>
      </c>
      <c r="R19" s="222"/>
      <c r="S19" s="222">
        <f t="shared" si="0"/>
        <v>122138.809225591</v>
      </c>
      <c r="T19" s="222"/>
      <c r="U19" s="222">
        <f t="shared" si="0"/>
        <v>126413.66754848667</v>
      </c>
      <c r="V19" s="222"/>
      <c r="W19" s="222">
        <f t="shared" si="0"/>
        <v>130838.1459126837</v>
      </c>
      <c r="X19" s="222"/>
      <c r="Y19" s="222">
        <f t="shared" si="0"/>
        <v>135417.48101962762</v>
      </c>
      <c r="Z19" s="222"/>
      <c r="AA19" s="222">
        <f t="shared" si="0"/>
        <v>140157.09285531458</v>
      </c>
      <c r="AB19" s="222"/>
      <c r="AC19" s="222">
        <f t="shared" si="0"/>
        <v>145062.59110525058</v>
      </c>
      <c r="AD19" s="222"/>
      <c r="AE19" s="222">
        <f t="shared" si="0"/>
        <v>150139.78179393435</v>
      </c>
      <c r="AF19" s="222"/>
      <c r="AG19" s="222">
        <f t="shared" si="0"/>
        <v>155394.67415672203</v>
      </c>
    </row>
    <row r="20" spans="1:33" s="210" customFormat="1" ht="14.25">
      <c r="A20" s="210" t="s">
        <v>390</v>
      </c>
      <c r="C20" s="233"/>
      <c r="E20" s="222">
        <f>Application!W872</f>
        <v>137565</v>
      </c>
      <c r="F20" s="222"/>
      <c r="G20" s="222">
        <f t="shared" si="0"/>
        <v>142379.77499999999</v>
      </c>
      <c r="H20" s="222"/>
      <c r="I20" s="222">
        <f t="shared" si="0"/>
        <v>147363.06712499997</v>
      </c>
      <c r="J20" s="222"/>
      <c r="K20" s="222">
        <f t="shared" si="0"/>
        <v>152520.77447437495</v>
      </c>
      <c r="L20" s="222"/>
      <c r="M20" s="222">
        <f t="shared" si="0"/>
        <v>157859.00158097807</v>
      </c>
      <c r="N20" s="222"/>
      <c r="O20" s="222">
        <f t="shared" si="0"/>
        <v>163384.06663631229</v>
      </c>
      <c r="P20" s="222"/>
      <c r="Q20" s="222">
        <f t="shared" si="0"/>
        <v>169102.50896858319</v>
      </c>
      <c r="R20" s="222"/>
      <c r="S20" s="222">
        <f t="shared" si="0"/>
        <v>175021.0967824836</v>
      </c>
      <c r="T20" s="222"/>
      <c r="U20" s="222">
        <f t="shared" si="0"/>
        <v>181146.83516987052</v>
      </c>
      <c r="V20" s="222"/>
      <c r="W20" s="222">
        <f t="shared" si="0"/>
        <v>187486.97440081599</v>
      </c>
      <c r="X20" s="222"/>
      <c r="Y20" s="222">
        <f t="shared" si="0"/>
        <v>194049.01850484454</v>
      </c>
      <c r="Z20" s="222"/>
      <c r="AA20" s="222">
        <f t="shared" si="0"/>
        <v>200840.73415251408</v>
      </c>
      <c r="AB20" s="222"/>
      <c r="AC20" s="222">
        <f t="shared" si="0"/>
        <v>207870.15984785205</v>
      </c>
      <c r="AD20" s="222"/>
      <c r="AE20" s="222">
        <f t="shared" si="0"/>
        <v>215145.61544252685</v>
      </c>
      <c r="AF20" s="222"/>
      <c r="AG20" s="222">
        <f t="shared" si="0"/>
        <v>222675.71198301527</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775000</v>
      </c>
      <c r="G22" s="223">
        <f>SUM(G15:G21)</f>
        <v>802125</v>
      </c>
      <c r="I22" s="223">
        <f>SUM(I15:I21)</f>
        <v>830199.37499999977</v>
      </c>
      <c r="K22" s="223">
        <f>SUM(K15:K21)</f>
        <v>859256.35312499979</v>
      </c>
      <c r="M22" s="223">
        <f>SUM(M15:M21)</f>
        <v>889330.32548437465</v>
      </c>
      <c r="O22" s="223">
        <f>SUM(O15:O21)</f>
        <v>920456.88687632768</v>
      </c>
      <c r="Q22" s="223">
        <f>SUM(Q15:Q21)</f>
        <v>952672.87791699916</v>
      </c>
      <c r="S22" s="223">
        <f>SUM(S15:S21)</f>
        <v>986016.42864409403</v>
      </c>
      <c r="U22" s="223">
        <f>SUM(U15:U21)</f>
        <v>1020527.0036466372</v>
      </c>
      <c r="W22" s="223">
        <f>SUM(W15:W21)</f>
        <v>1056245.4487742693</v>
      </c>
      <c r="Y22" s="223">
        <f>SUM(Y15:Y21)</f>
        <v>1093214.0394813688</v>
      </c>
      <c r="AA22" s="223">
        <f>SUM(AA15:AA21)</f>
        <v>1131476.5308632166</v>
      </c>
      <c r="AC22" s="223">
        <f>SUM(AC15:AC21)</f>
        <v>1171078.2094434293</v>
      </c>
      <c r="AE22" s="223">
        <f>SUM(AE15:AE21)</f>
        <v>1212065.9467739491</v>
      </c>
      <c r="AG22" s="223">
        <f>SUM(AG15:AG21)</f>
        <v>1254488.2549110372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130000</v>
      </c>
      <c r="F27" s="222"/>
      <c r="G27" s="222">
        <f>E27*$C$27</f>
        <v>134550</v>
      </c>
      <c r="H27" s="222"/>
      <c r="I27" s="222">
        <f>G27*$C$27</f>
        <v>139259.25</v>
      </c>
      <c r="J27" s="222"/>
      <c r="K27" s="222">
        <f>I27*$C$27</f>
        <v>144133.32374999998</v>
      </c>
      <c r="L27" s="222"/>
      <c r="M27" s="222">
        <f>K27*$C$27</f>
        <v>149177.99008124997</v>
      </c>
      <c r="N27" s="222"/>
      <c r="O27" s="222">
        <f>M27*$C$27</f>
        <v>154399.2197340937</v>
      </c>
      <c r="P27" s="222"/>
      <c r="Q27" s="222">
        <f>O27*$C$27</f>
        <v>159803.19242478698</v>
      </c>
      <c r="R27" s="222"/>
      <c r="S27" s="222">
        <f>Q27*$C$27</f>
        <v>165396.30415965451</v>
      </c>
      <c r="T27" s="222"/>
      <c r="U27" s="222">
        <f>S27*$C$27</f>
        <v>171185.17480524239</v>
      </c>
      <c r="V27" s="222"/>
      <c r="W27" s="222">
        <f>U27*$C$27</f>
        <v>177176.65592342586</v>
      </c>
      <c r="X27" s="222"/>
      <c r="Y27" s="222">
        <f>W27*$C$27</f>
        <v>183377.83888074575</v>
      </c>
      <c r="Z27" s="222"/>
      <c r="AA27" s="222">
        <f>Y27*$C$27</f>
        <v>189796.06324157183</v>
      </c>
      <c r="AB27" s="222"/>
      <c r="AC27" s="222">
        <f>AA27*$C$27</f>
        <v>196438.92545502682</v>
      </c>
      <c r="AD27" s="222"/>
      <c r="AE27" s="222">
        <f>AC27*$C$27</f>
        <v>203314.28784595276</v>
      </c>
      <c r="AF27" s="222"/>
      <c r="AG27" s="222">
        <f>AE27*$C$27</f>
        <v>210430.2879205611</v>
      </c>
    </row>
    <row r="28" spans="1:33" s="210" customFormat="1" ht="14.25">
      <c r="A28" s="210" t="s">
        <v>846</v>
      </c>
      <c r="C28" s="237"/>
      <c r="E28" s="222">
        <f>Application!AC889</f>
        <v>26000</v>
      </c>
      <c r="F28" s="222"/>
      <c r="G28" s="222">
        <f>$E$28</f>
        <v>26000</v>
      </c>
      <c r="H28" s="222"/>
      <c r="I28" s="222">
        <f>$E$28</f>
        <v>26000</v>
      </c>
      <c r="J28" s="222"/>
      <c r="K28" s="222">
        <f>$E$28</f>
        <v>26000</v>
      </c>
      <c r="L28" s="222"/>
      <c r="M28" s="222">
        <f>$E$28</f>
        <v>26000</v>
      </c>
      <c r="N28" s="222"/>
      <c r="O28" s="222">
        <f>$E$28</f>
        <v>26000</v>
      </c>
      <c r="P28" s="222"/>
      <c r="Q28" s="222">
        <f>$E$28</f>
        <v>26000</v>
      </c>
      <c r="R28" s="222"/>
      <c r="S28" s="222">
        <f>$E$28</f>
        <v>26000</v>
      </c>
      <c r="T28" s="222"/>
      <c r="U28" s="222">
        <f>$E$28</f>
        <v>26000</v>
      </c>
      <c r="V28" s="222"/>
      <c r="W28" s="222">
        <f>$E$28</f>
        <v>26000</v>
      </c>
      <c r="X28" s="222"/>
      <c r="Y28" s="222">
        <f>$E$28</f>
        <v>26000</v>
      </c>
      <c r="Z28" s="222"/>
      <c r="AA28" s="222">
        <f>$E$28</f>
        <v>26000</v>
      </c>
      <c r="AB28" s="222"/>
      <c r="AC28" s="222">
        <f>$E$28</f>
        <v>26000</v>
      </c>
      <c r="AD28" s="222"/>
      <c r="AE28" s="222">
        <f>$E$28</f>
        <v>26000</v>
      </c>
      <c r="AF28" s="222"/>
      <c r="AG28" s="222">
        <f>$E$28</f>
        <v>26000</v>
      </c>
    </row>
    <row r="29" spans="1:33" s="210" customFormat="1" ht="14.25">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4.25">
      <c r="A30" s="210" t="s">
        <v>844</v>
      </c>
      <c r="C30" s="237">
        <v>1.02</v>
      </c>
      <c r="E30" s="222">
        <f>Application!AC891</f>
        <v>5000</v>
      </c>
      <c r="F30" s="222"/>
      <c r="G30" s="222">
        <f>E30*$C$30</f>
        <v>5100</v>
      </c>
      <c r="H30" s="222"/>
      <c r="I30" s="222">
        <f>G30*$C$30</f>
        <v>5202</v>
      </c>
      <c r="J30" s="222"/>
      <c r="K30" s="222">
        <f>I30*$C$30</f>
        <v>5306.04</v>
      </c>
      <c r="L30" s="222"/>
      <c r="M30" s="222">
        <f>K30*$C$30</f>
        <v>5412.1607999999997</v>
      </c>
      <c r="N30" s="222"/>
      <c r="O30" s="222">
        <f>M30*$C$30</f>
        <v>5520.4040159999995</v>
      </c>
      <c r="P30" s="222"/>
      <c r="Q30" s="222">
        <f>O30*$C$30</f>
        <v>5630.8120963199999</v>
      </c>
      <c r="R30" s="222"/>
      <c r="S30" s="222">
        <f>Q30*$C$30</f>
        <v>5743.4283382464</v>
      </c>
      <c r="T30" s="222"/>
      <c r="U30" s="222">
        <f>S30*$C$30</f>
        <v>5858.2969050113279</v>
      </c>
      <c r="V30" s="222"/>
      <c r="W30" s="222">
        <f>U30*$C$30</f>
        <v>5975.4628431115543</v>
      </c>
      <c r="X30" s="222"/>
      <c r="Y30" s="222">
        <f>W30*$C$30</f>
        <v>6094.9720999737856</v>
      </c>
      <c r="Z30" s="222"/>
      <c r="AA30" s="222">
        <f>Y30*$C$30</f>
        <v>6216.8715419732616</v>
      </c>
      <c r="AB30" s="222"/>
      <c r="AC30" s="222">
        <f>AA30*$C$30</f>
        <v>6341.2089728127266</v>
      </c>
      <c r="AD30" s="222"/>
      <c r="AE30" s="222">
        <f>AC30*$C$30</f>
        <v>6468.0331522689812</v>
      </c>
      <c r="AF30" s="222"/>
      <c r="AG30" s="222">
        <f>AE30*$C$30</f>
        <v>6597.3938153143608</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943500</v>
      </c>
      <c r="G35" s="223">
        <f>SUM(G22:G33)</f>
        <v>975275</v>
      </c>
      <c r="I35" s="223">
        <f>SUM(I22:I33)</f>
        <v>1008160.6249999998</v>
      </c>
      <c r="K35" s="223">
        <f>SUM(K22:K33)</f>
        <v>1042195.7168749998</v>
      </c>
      <c r="M35" s="223">
        <f>SUM(M22:M33)</f>
        <v>1077420.4763656247</v>
      </c>
      <c r="O35" s="223">
        <f>SUM(O22:O33)</f>
        <v>1113876.5106264213</v>
      </c>
      <c r="Q35" s="223">
        <f>SUM(Q22:Q33)</f>
        <v>1151606.8824381062</v>
      </c>
      <c r="S35" s="223">
        <f>SUM(S22:S33)</f>
        <v>1190656.1611419949</v>
      </c>
      <c r="U35" s="223">
        <f>SUM(U22:U33)</f>
        <v>1231070.4753568911</v>
      </c>
      <c r="W35" s="223">
        <f>SUM(W22:W33)</f>
        <v>1272897.5675408067</v>
      </c>
      <c r="Y35" s="223">
        <f>SUM(Y22:Y33)</f>
        <v>1316186.8504620884</v>
      </c>
      <c r="AA35" s="223">
        <f>SUM(AA22:AA33)</f>
        <v>1360989.4656467617</v>
      </c>
      <c r="AC35" s="223">
        <f>SUM(AC22:AC33)</f>
        <v>1407358.3438712687</v>
      </c>
      <c r="AE35" s="223">
        <f>SUM(AE22:AE33)</f>
        <v>1455348.2677721707</v>
      </c>
      <c r="AG35" s="223">
        <f>SUM(AG22:AG33)</f>
        <v>1505015.9366469127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308135.6399999999</v>
      </c>
      <c r="G37" s="223">
        <f>G11-G35</f>
        <v>307651.53099999973</v>
      </c>
      <c r="I37" s="223">
        <f>I11-I35</f>
        <v>306839.0692749999</v>
      </c>
      <c r="K37" s="223">
        <f>K11-K35</f>
        <v>305678.96975687484</v>
      </c>
      <c r="M37" s="223">
        <f>M11-M35</f>
        <v>304151.07743204664</v>
      </c>
      <c r="O37" s="223">
        <f>O11-O35</f>
        <v>302234.33201619145</v>
      </c>
      <c r="Q37" s="223">
        <f>Q11-Q35</f>
        <v>299906.73127057194</v>
      </c>
      <c r="S37" s="223">
        <f>S11-S35</f>
        <v>297145.2929094003</v>
      </c>
      <c r="U37" s="223">
        <f>U11-U35</f>
        <v>293926.0150457886</v>
      </c>
      <c r="W37" s="223">
        <f>W11-W35</f>
        <v>290223.83512193989</v>
      </c>
      <c r="Y37" s="223">
        <f>Y11-Y35</f>
        <v>286012.58726722654</v>
      </c>
      <c r="AA37" s="223">
        <f>AA11-AA35</f>
        <v>281264.95802578609</v>
      </c>
      <c r="AC37" s="223">
        <f>AC11-AC35</f>
        <v>275952.44039309258</v>
      </c>
      <c r="AE37" s="223">
        <f>AE11-AE35</f>
        <v>270045.28609879967</v>
      </c>
      <c r="AG37" s="223">
        <f>AG11-AG35</f>
        <v>263512.45607083174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Permanent Loan</v>
      </c>
      <c r="B40" s="226"/>
      <c r="C40" s="220"/>
      <c r="E40" s="222">
        <f>Application!AF627</f>
        <v>255530</v>
      </c>
      <c r="F40" s="222"/>
      <c r="G40" s="222">
        <f>$E$40</f>
        <v>255530</v>
      </c>
      <c r="H40" s="222"/>
      <c r="I40" s="222">
        <f>$E$40</f>
        <v>255530</v>
      </c>
      <c r="J40" s="222"/>
      <c r="K40" s="222">
        <f>$E$40</f>
        <v>255530</v>
      </c>
      <c r="L40" s="222"/>
      <c r="M40" s="222">
        <f>$E$40</f>
        <v>255530</v>
      </c>
      <c r="N40" s="222"/>
      <c r="O40" s="222">
        <f>$E$40</f>
        <v>255530</v>
      </c>
      <c r="P40" s="222"/>
      <c r="Q40" s="222">
        <f>$E$40</f>
        <v>255530</v>
      </c>
      <c r="R40" s="222"/>
      <c r="S40" s="222">
        <f>$E$40</f>
        <v>255530</v>
      </c>
      <c r="T40" s="222"/>
      <c r="U40" s="222">
        <f>$E$40</f>
        <v>255530</v>
      </c>
      <c r="V40" s="222"/>
      <c r="W40" s="222">
        <f>$E$40</f>
        <v>255530</v>
      </c>
      <c r="X40" s="222"/>
      <c r="Y40" s="222">
        <f>$E$40</f>
        <v>255530</v>
      </c>
      <c r="Z40" s="222"/>
      <c r="AA40" s="222">
        <f>$E$40</f>
        <v>255530</v>
      </c>
      <c r="AB40" s="222"/>
      <c r="AC40" s="222">
        <f>$E$40</f>
        <v>255530</v>
      </c>
      <c r="AD40" s="222"/>
      <c r="AE40" s="222">
        <f>$E$40</f>
        <v>255530</v>
      </c>
      <c r="AF40" s="222"/>
      <c r="AG40" s="222">
        <f>$E$40</f>
        <v>255530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255530</v>
      </c>
      <c r="G43" s="223">
        <f>SUM(G40:G42)</f>
        <v>255530</v>
      </c>
      <c r="I43" s="223">
        <f>SUM(I40:I42)</f>
        <v>255530</v>
      </c>
      <c r="K43" s="223">
        <f>SUM(K40:K42)</f>
        <v>255530</v>
      </c>
      <c r="M43" s="223">
        <f>SUM(M40:M42)</f>
        <v>255530</v>
      </c>
      <c r="O43" s="223">
        <f>SUM(O40:O42)</f>
        <v>255530</v>
      </c>
      <c r="Q43" s="223">
        <f>SUM(Q40:Q42)</f>
        <v>255530</v>
      </c>
      <c r="S43" s="223">
        <f>SUM(S40:S42)</f>
        <v>255530</v>
      </c>
      <c r="U43" s="223">
        <f>SUM(U40:U42)</f>
        <v>255530</v>
      </c>
      <c r="W43" s="223">
        <f>SUM(W40:W42)</f>
        <v>255530</v>
      </c>
      <c r="Y43" s="223">
        <f>SUM(Y40:Y42)</f>
        <v>255530</v>
      </c>
      <c r="AA43" s="223">
        <f>SUM(AA40:AA42)</f>
        <v>255530</v>
      </c>
      <c r="AC43" s="223">
        <f>SUM(AC40:AC42)</f>
        <v>255530</v>
      </c>
      <c r="AE43" s="223">
        <f>SUM(AE40:AE42)</f>
        <v>255530</v>
      </c>
      <c r="AG43" s="223">
        <f>SUM(AG40:AG42)</f>
        <v>255530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52605.639999999898</v>
      </c>
      <c r="G45" s="223">
        <f>G37-G43</f>
        <v>52121.530999999726</v>
      </c>
      <c r="I45" s="223">
        <f>I37-I43</f>
        <v>51309.0692749999</v>
      </c>
      <c r="K45" s="223">
        <f>K37-K43</f>
        <v>50148.969756874838</v>
      </c>
      <c r="M45" s="223">
        <f>M37-M43</f>
        <v>48621.077432046644</v>
      </c>
      <c r="O45" s="223">
        <f>O37-O43</f>
        <v>46704.332016191445</v>
      </c>
      <c r="Q45" s="223">
        <f>Q37-Q43</f>
        <v>44376.731270571938</v>
      </c>
      <c r="S45" s="223">
        <f>S37-S43</f>
        <v>41615.292909400305</v>
      </c>
      <c r="U45" s="223">
        <f>U37-U43</f>
        <v>38396.015045788605</v>
      </c>
      <c r="W45" s="223">
        <f>W37-W43</f>
        <v>34693.83512193989</v>
      </c>
      <c r="Y45" s="223">
        <f>Y37-Y43</f>
        <v>30482.58726722654</v>
      </c>
      <c r="AA45" s="223">
        <f>AA37-AA43</f>
        <v>25734.958025786094</v>
      </c>
      <c r="AC45" s="223">
        <f>AC37-AC43</f>
        <v>20422.440393092576</v>
      </c>
      <c r="AE45" s="223">
        <f>AE37-AE43</f>
        <v>14515.286098799668</v>
      </c>
      <c r="AG45" s="223">
        <f>AG37-AG43</f>
        <v>7982.456070831744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3.9928040080418219E-2</v>
      </c>
      <c r="G47" s="227">
        <f>G45/(G4+G6+G8)</f>
        <v>3.8595705407545082E-2</v>
      </c>
      <c r="I47" s="227">
        <f>I45/(I4+I6+I8)</f>
        <v>3.7067397067437176E-2</v>
      </c>
      <c r="K47" s="227">
        <f>K45/(K4+K6+K8)</f>
        <v>3.5345660647489209E-2</v>
      </c>
      <c r="M47" s="227">
        <f>M45/(M4+M6+M8)</f>
        <v>3.3432957875744421E-2</v>
      </c>
      <c r="O47" s="227">
        <f>O45/(O4+O6+O8)</f>
        <v>3.1331668453709743E-2</v>
      </c>
      <c r="Q47" s="227">
        <f>Q45/(Q4+Q6+Q8)</f>
        <v>2.9044091842396261E-2</v>
      </c>
      <c r="S47" s="227">
        <f>S45/(S4+S6+S8)</f>
        <v>2.6572449002704494E-2</v>
      </c>
      <c r="U47" s="227">
        <f>U45/(U4+U6+U8)</f>
        <v>2.3918884091246352E-2</v>
      </c>
      <c r="W47" s="227">
        <f>W45/(W4+W6+W8)</f>
        <v>2.1085466112675345E-2</v>
      </c>
      <c r="Y47" s="227">
        <f>Y45/(Y4+Y6+Y8)</f>
        <v>1.8074190529554803E-2</v>
      </c>
      <c r="AA47" s="227">
        <f>AA45/(AA4+AA6+AA8)</f>
        <v>1.4886980830792127E-2</v>
      </c>
      <c r="AC47" s="227">
        <f>AC45/(AC4+AC6+AC8)</f>
        <v>1.1525690059614685E-2</v>
      </c>
      <c r="AE47" s="227">
        <f>AE45/(AE4+AE6+AE8)</f>
        <v>7.9921023020646468E-3</v>
      </c>
      <c r="AG47" s="227">
        <f>AG45/(AG4+AG6+AG8)</f>
        <v>4.2879341369445861E-3</v>
      </c>
    </row>
    <row r="48" spans="1:33" s="227" customFormat="1" ht="14.25">
      <c r="A48" s="227" t="s">
        <v>852</v>
      </c>
      <c r="C48" s="220"/>
      <c r="E48" s="227">
        <f>E45/E43</f>
        <v>0.20586874339607833</v>
      </c>
      <c r="G48" s="227">
        <f>G45/G43</f>
        <v>0.20397421437795846</v>
      </c>
      <c r="I48" s="227">
        <f>I45/I43</f>
        <v>0.20079469837201072</v>
      </c>
      <c r="K48" s="227">
        <f>K45/K43</f>
        <v>0.19625472452109277</v>
      </c>
      <c r="M48" s="227">
        <f>M45/M43</f>
        <v>0.1902754174932362</v>
      </c>
      <c r="O48" s="227">
        <f>O45/O43</f>
        <v>0.18277435923841209</v>
      </c>
      <c r="Q48" s="227">
        <f>Q45/Q43</f>
        <v>0.17366544542938966</v>
      </c>
      <c r="S48" s="227">
        <f>S45/S43</f>
        <v>0.16285873638868353</v>
      </c>
      <c r="U48" s="227">
        <f>U45/U43</f>
        <v>0.15026030229635895</v>
      </c>
      <c r="W48" s="227">
        <f>W45/W43</f>
        <v>0.1357720624660114</v>
      </c>
      <c r="Y48" s="227">
        <f>Y45/Y43</f>
        <v>0.11929161846838547</v>
      </c>
      <c r="AA48" s="227">
        <f>AA45/AA43</f>
        <v>0.10071208087420692</v>
      </c>
      <c r="AC48" s="227">
        <f>AC45/AC43</f>
        <v>7.9921889379300184E-2</v>
      </c>
      <c r="AE48" s="227">
        <f>AE45/AE43</f>
        <v>5.6804626066605364E-2</v>
      </c>
      <c r="AG48" s="227">
        <f>AG45/AG43</f>
        <v>3.1238821550627103E-2</v>
      </c>
    </row>
    <row r="49" spans="1:34" s="228" customFormat="1" ht="14.25">
      <c r="A49" s="228" t="s">
        <v>850</v>
      </c>
      <c r="C49" s="229"/>
      <c r="E49" s="228">
        <f>E37/E43</f>
        <v>1.2058687433960784</v>
      </c>
      <c r="G49" s="228">
        <f>G37/G43</f>
        <v>1.2039742143779584</v>
      </c>
      <c r="I49" s="228">
        <f>I37/I43</f>
        <v>1.2007946983720108</v>
      </c>
      <c r="K49" s="228">
        <f>K37/K43</f>
        <v>1.1962547245210928</v>
      </c>
      <c r="M49" s="228">
        <f>M37/M43</f>
        <v>1.1902754174932362</v>
      </c>
      <c r="O49" s="228">
        <f>O37/O43</f>
        <v>1.1827743592384121</v>
      </c>
      <c r="Q49" s="228">
        <f>Q37/Q43</f>
        <v>1.1736654454293896</v>
      </c>
      <c r="S49" s="228">
        <f>S37/S43</f>
        <v>1.1628587363886835</v>
      </c>
      <c r="U49" s="228">
        <f>U37/U43</f>
        <v>1.1502603022963589</v>
      </c>
      <c r="W49" s="228">
        <f>W37/W43</f>
        <v>1.1357720624660115</v>
      </c>
      <c r="Y49" s="228">
        <f>Y37/Y43</f>
        <v>1.1192916184683854</v>
      </c>
      <c r="AA49" s="228">
        <f>AA37/AA43</f>
        <v>1.100712080874207</v>
      </c>
      <c r="AC49" s="228">
        <f>AC37/AC43</f>
        <v>1.0799218893793001</v>
      </c>
      <c r="AE49" s="228">
        <f>AE37/AE43</f>
        <v>1.0568046260666053</v>
      </c>
      <c r="AG49" s="228">
        <f>AG37/AG43</f>
        <v>1.0312388215506272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1184</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10800</v>
      </c>
      <c r="G53" s="960">
        <f>E53*$C$53</f>
        <v>11178</v>
      </c>
      <c r="I53" s="960">
        <f>G53*$C$53</f>
        <v>11569.23</v>
      </c>
      <c r="K53" s="960">
        <f>I53*$C$53</f>
        <v>11974.153049999999</v>
      </c>
      <c r="M53" s="960">
        <f>K53*$C$53</f>
        <v>12393.248406749997</v>
      </c>
      <c r="O53" s="960">
        <f>M53*$C$53</f>
        <v>12827.012100986247</v>
      </c>
      <c r="Q53" s="960">
        <f>O53*$C$53</f>
        <v>13275.957524520765</v>
      </c>
      <c r="S53" s="960">
        <f>Q53*$C$53</f>
        <v>13740.616037878992</v>
      </c>
      <c r="U53" s="960">
        <f>S53*$C$53</f>
        <v>14221.537599204756</v>
      </c>
      <c r="W53" s="960">
        <f>U53*$C$53</f>
        <v>14719.291415176922</v>
      </c>
      <c r="Y53" s="960">
        <f>W53*$C$53</f>
        <v>15234.466614708113</v>
      </c>
      <c r="AA53" s="960">
        <f>Y53*$C$53</f>
        <v>15767.672946222896</v>
      </c>
      <c r="AC53" s="960">
        <f>AC45-AC54</f>
        <v>12867.097106360776</v>
      </c>
      <c r="AE53" s="960">
        <f>AE45-AE54</f>
        <v>6695.5057970322541</v>
      </c>
      <c r="AG53" s="960">
        <v>0</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AG45</f>
        <v>7982.456070831744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15800</v>
      </c>
      <c r="F58" s="960"/>
      <c r="G58" s="960">
        <f>SUM(G53:G57)</f>
        <v>16353</v>
      </c>
      <c r="H58" s="960"/>
      <c r="I58" s="960">
        <f>SUM(I53:I57)</f>
        <v>16925.355</v>
      </c>
      <c r="J58" s="960"/>
      <c r="K58" s="960">
        <f>SUM(K53:K57)</f>
        <v>17517.742424999997</v>
      </c>
      <c r="L58" s="960"/>
      <c r="M58" s="960">
        <f>SUM(M53:M57)</f>
        <v>18130.863409874997</v>
      </c>
      <c r="N58" s="960"/>
      <c r="O58" s="960">
        <f>SUM(O53:O57)</f>
        <v>18765.443629220619</v>
      </c>
      <c r="P58" s="960"/>
      <c r="Q58" s="960">
        <f>SUM(Q53:Q57)</f>
        <v>19422.234156243343</v>
      </c>
      <c r="R58" s="960"/>
      <c r="S58" s="960">
        <f>SUM(S53:S57)</f>
        <v>20102.012351711855</v>
      </c>
      <c r="T58" s="960"/>
      <c r="U58" s="960">
        <f>SUM(U53:U57)</f>
        <v>20805.582784021772</v>
      </c>
      <c r="V58" s="960"/>
      <c r="W58" s="960">
        <f>SUM(W53:W57)</f>
        <v>21533.778181462534</v>
      </c>
      <c r="X58" s="960"/>
      <c r="Y58" s="960">
        <f>SUM(Y53:Y57)</f>
        <v>22287.46041781372</v>
      </c>
      <c r="Z58" s="960"/>
      <c r="AA58" s="960">
        <f>SUM(AA53:AA57)</f>
        <v>23067.521532437197</v>
      </c>
      <c r="AB58" s="960"/>
      <c r="AC58" s="960">
        <f>SUM(AC53:AC57)</f>
        <v>20422.440393092576</v>
      </c>
      <c r="AD58" s="960"/>
      <c r="AE58" s="960">
        <f>SUM(AE53:AE57)</f>
        <v>14515.286098799668</v>
      </c>
      <c r="AF58" s="960"/>
      <c r="AG58" s="960">
        <f>SUM(AG53:AG57)</f>
        <v>7982.456070831744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36805.639999999898</v>
      </c>
      <c r="G60" s="962">
        <f>G45-G58</f>
        <v>35768.530999999726</v>
      </c>
      <c r="I60" s="962">
        <f>I45-I58</f>
        <v>34383.714274999904</v>
      </c>
      <c r="K60" s="962">
        <f>K45-K58</f>
        <v>32631.227331874841</v>
      </c>
      <c r="M60" s="962">
        <f>M45-M58</f>
        <v>30490.214022171647</v>
      </c>
      <c r="O60" s="962">
        <f>O45-O58</f>
        <v>27938.888386970826</v>
      </c>
      <c r="Q60" s="962">
        <f>Q45-Q58</f>
        <v>24954.497114328595</v>
      </c>
      <c r="S60" s="962">
        <f>S45-S58</f>
        <v>21513.280557688449</v>
      </c>
      <c r="U60" s="962">
        <f>U45-U58</f>
        <v>17590.432261766833</v>
      </c>
      <c r="W60" s="962">
        <f>W45-W58</f>
        <v>13160.056940477356</v>
      </c>
      <c r="Y60" s="962">
        <f>Y45-Y58</f>
        <v>8195.1268494128199</v>
      </c>
      <c r="AA60" s="962">
        <f>AA45-AA58</f>
        <v>2667.4364933488978</v>
      </c>
      <c r="AC60" s="962">
        <f>AC45-AC58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36805.639999999898</v>
      </c>
      <c r="G62" s="962">
        <f>G60*$C$62</f>
        <v>35768.530999999726</v>
      </c>
      <c r="I62" s="962">
        <f>I60*$C$62</f>
        <v>34383.714274999904</v>
      </c>
      <c r="K62" s="962">
        <f>K60*$C$62</f>
        <v>32631.227331874841</v>
      </c>
      <c r="M62" s="962">
        <f>M60*$C$62</f>
        <v>30490.214022171647</v>
      </c>
      <c r="O62" s="962">
        <f>O60*$C$62</f>
        <v>27938.888386970826</v>
      </c>
      <c r="Q62" s="962">
        <f>Q60*$C$62</f>
        <v>24954.497114328595</v>
      </c>
      <c r="S62" s="962">
        <f>S60*$C$62</f>
        <v>21513.280557688449</v>
      </c>
      <c r="U62" s="962">
        <f>U60*$C$62</f>
        <v>17590.432261766833</v>
      </c>
      <c r="W62" s="962">
        <f>W60*$C$62</f>
        <v>13160.056940477356</v>
      </c>
      <c r="Y62" s="962">
        <f>Y60*$C$62</f>
        <v>8195.1268494128199</v>
      </c>
      <c r="AA62" s="962">
        <f>AA60*$C$62</f>
        <v>2667.4364933488978</v>
      </c>
      <c r="AC62" s="962">
        <f>AC60*$C$62</f>
        <v>0</v>
      </c>
    </row>
    <row r="63" spans="1:34" s="962" customFormat="1">
      <c r="A63" s="2690" t="s">
        <v>1184</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4550000</v>
      </c>
      <c r="C5" s="266">
        <f>'Sources and Uses Budget'!$C4</f>
        <v>4550000</v>
      </c>
      <c r="D5" s="270">
        <f>C5-B5</f>
        <v>0</v>
      </c>
      <c r="E5" s="268"/>
      <c r="F5" s="267"/>
    </row>
    <row r="6" spans="1:6" s="352" customFormat="1">
      <c r="A6" s="364" t="s">
        <v>28</v>
      </c>
      <c r="B6" s="266">
        <f>'Sources and Uses Budget'!$C5</f>
        <v>100000</v>
      </c>
      <c r="C6" s="266">
        <f>'Sources and Uses Budget'!$C5</f>
        <v>100000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4650000</v>
      </c>
      <c r="C9" s="270">
        <f>SUM(C5:C8)</f>
        <v>4650000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5150000</v>
      </c>
      <c r="C13" s="270">
        <f>SUM(C9+C12)</f>
        <v>5150000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22980054</v>
      </c>
      <c r="C31" s="266">
        <f>'Sources and Uses Budget'!$C30</f>
        <v>22980054</v>
      </c>
      <c r="D31" s="270">
        <f t="shared" si="0"/>
        <v>0</v>
      </c>
      <c r="E31" s="268"/>
      <c r="F31" s="267"/>
    </row>
    <row r="32" spans="1:6" s="352" customFormat="1">
      <c r="A32" s="145" t="s">
        <v>600</v>
      </c>
      <c r="B32" s="266">
        <f>'Sources and Uses Budget'!$C31</f>
        <v>1762564</v>
      </c>
      <c r="C32" s="266">
        <f>'Sources and Uses Budget'!$C31</f>
        <v>1762564</v>
      </c>
      <c r="D32" s="270">
        <f t="shared" si="0"/>
        <v>0</v>
      </c>
      <c r="E32" s="268"/>
      <c r="F32" s="267"/>
    </row>
    <row r="33" spans="1:6" s="352" customFormat="1">
      <c r="A33" s="145" t="s">
        <v>137</v>
      </c>
      <c r="B33" s="266">
        <f>'Sources and Uses Budget'!$C32</f>
        <v>1175043</v>
      </c>
      <c r="C33" s="266">
        <f>'Sources and Uses Budget'!$C32</f>
        <v>1175043</v>
      </c>
      <c r="D33" s="270">
        <f t="shared" si="0"/>
        <v>0</v>
      </c>
      <c r="E33" s="268"/>
      <c r="F33" s="267"/>
    </row>
    <row r="34" spans="1:6" s="352" customFormat="1">
      <c r="A34" s="145" t="s">
        <v>138</v>
      </c>
      <c r="B34" s="266">
        <f>'Sources and Uses Budget'!$C33</f>
        <v>1175043</v>
      </c>
      <c r="C34" s="266">
        <f>'Sources and Uses Budget'!$C33</f>
        <v>1175043</v>
      </c>
      <c r="D34" s="270">
        <f t="shared" si="0"/>
        <v>0</v>
      </c>
      <c r="E34" s="268"/>
      <c r="F34" s="267"/>
    </row>
    <row r="35" spans="1:6" s="352" customFormat="1">
      <c r="A35" s="145" t="s">
        <v>139</v>
      </c>
      <c r="B35" s="266">
        <f>'Sources and Uses Budget'!$C34</f>
        <v>4896011</v>
      </c>
      <c r="C35" s="266">
        <f>'Sources and Uses Budget'!$C34</f>
        <v>4896011</v>
      </c>
      <c r="D35" s="270">
        <f t="shared" si="0"/>
        <v>0</v>
      </c>
      <c r="E35" s="268"/>
      <c r="F35" s="267"/>
    </row>
    <row r="36" spans="1:6" s="352" customFormat="1">
      <c r="A36" s="145" t="s">
        <v>140</v>
      </c>
      <c r="B36" s="266">
        <f>'Sources and Uses Budget'!$C35</f>
        <v>334887</v>
      </c>
      <c r="C36" s="266">
        <f>'Sources and Uses Budget'!$C35</f>
        <v>334887</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33323602</v>
      </c>
      <c r="C39" s="270">
        <f>SUM(C30:C38)</f>
        <v>33323602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1020000</v>
      </c>
      <c r="C41" s="266">
        <f>'Sources and Uses Budget'!$C40</f>
        <v>1020000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1020000</v>
      </c>
      <c r="C43" s="270">
        <f>SUM(C41:C42)</f>
        <v>1020000</v>
      </c>
      <c r="D43" s="270">
        <f t="shared" si="0"/>
        <v>0</v>
      </c>
      <c r="E43" s="268"/>
      <c r="F43" s="267"/>
    </row>
    <row r="44" spans="1:6" s="352" customFormat="1">
      <c r="A44" s="271" t="s">
        <v>148</v>
      </c>
      <c r="B44" s="266">
        <f>'Sources and Uses Budget'!$C43</f>
        <v>650000</v>
      </c>
      <c r="C44" s="266">
        <f>'Sources and Uses Budget'!$C43</f>
        <v>650000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2541153</v>
      </c>
      <c r="C46" s="266">
        <f>'Sources and Uses Budget'!$C45</f>
        <v>2541153</v>
      </c>
      <c r="D46" s="270">
        <f t="shared" si="0"/>
        <v>0</v>
      </c>
      <c r="E46" s="268"/>
      <c r="F46" s="267"/>
    </row>
    <row r="47" spans="1:6" s="352" customFormat="1">
      <c r="A47" s="145" t="s">
        <v>151</v>
      </c>
      <c r="B47" s="266">
        <f>'Sources and Uses Budget'!$C46</f>
        <v>180573</v>
      </c>
      <c r="C47" s="266">
        <f>'Sources and Uses Budget'!$C46</f>
        <v>180573</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301398</v>
      </c>
      <c r="C49" s="266">
        <f>'Sources and Uses Budget'!$C48</f>
        <v>301398</v>
      </c>
      <c r="D49" s="270">
        <f t="shared" si="0"/>
        <v>0</v>
      </c>
      <c r="E49" s="268"/>
      <c r="F49" s="267"/>
    </row>
    <row r="50" spans="1:6" s="352" customFormat="1">
      <c r="A50" s="145" t="s">
        <v>57</v>
      </c>
      <c r="B50" s="266">
        <f>'Sources and Uses Budget'!$C49</f>
        <v>45143</v>
      </c>
      <c r="C50" s="266">
        <f>'Sources and Uses Budget'!$C49</f>
        <v>45143</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105000</v>
      </c>
      <c r="C52" s="266">
        <f>'Sources and Uses Budget'!$C51</f>
        <v>105000</v>
      </c>
      <c r="D52" s="270">
        <f t="shared" si="0"/>
        <v>0</v>
      </c>
      <c r="E52" s="268"/>
      <c r="F52" s="267"/>
    </row>
    <row r="53" spans="1:6" s="352" customFormat="1">
      <c r="A53" s="145" t="s">
        <v>155</v>
      </c>
      <c r="B53" s="266">
        <f>'Sources and Uses Budget'!$C52</f>
        <v>512000</v>
      </c>
      <c r="C53" s="266">
        <f>'Sources and Uses Budget'!$C52</f>
        <v>512000</v>
      </c>
      <c r="D53" s="270">
        <f t="shared" si="0"/>
        <v>0</v>
      </c>
      <c r="E53" s="268"/>
      <c r="F53" s="267"/>
    </row>
    <row r="54" spans="1:6" s="352" customFormat="1" ht="24">
      <c r="A54" s="155" t="str">
        <f>'Sources and Uses Budget'!A53</f>
        <v>Employment Reporting + SMC 12.5 Origination Fee</v>
      </c>
      <c r="B54" s="266">
        <f>'Sources and Uses Budget'!$C53</f>
        <v>145000</v>
      </c>
      <c r="C54" s="266">
        <f>'Sources and Uses Budget'!$C53</f>
        <v>145000</v>
      </c>
      <c r="D54" s="270">
        <f t="shared" si="0"/>
        <v>0</v>
      </c>
      <c r="E54" s="268"/>
      <c r="F54" s="267"/>
    </row>
    <row r="55" spans="1:6" s="353" customFormat="1">
      <c r="A55" s="271" t="s">
        <v>157</v>
      </c>
      <c r="B55" s="273">
        <f>SUM(B46:B54)</f>
        <v>3945267</v>
      </c>
      <c r="C55" s="273">
        <f>SUM(C46:C54)</f>
        <v>3945267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15000</v>
      </c>
      <c r="C62" s="266">
        <f>'Sources and Uses Budget'!$C61</f>
        <v>15000</v>
      </c>
      <c r="D62" s="270">
        <f t="shared" si="0"/>
        <v>0</v>
      </c>
      <c r="E62" s="268"/>
      <c r="F62" s="267"/>
    </row>
    <row r="63" spans="1:6" s="352" customFormat="1" ht="13.7" customHeight="1">
      <c r="A63" s="271" t="s">
        <v>301</v>
      </c>
      <c r="B63" s="270">
        <f>SUM(B57:B62)</f>
        <v>25000</v>
      </c>
      <c r="C63" s="270">
        <f>SUM(C57:C62)</f>
        <v>25000</v>
      </c>
      <c r="D63" s="270">
        <f t="shared" si="0"/>
        <v>0</v>
      </c>
      <c r="E63" s="268"/>
      <c r="F63" s="267"/>
    </row>
    <row r="64" spans="1:6" s="352" customFormat="1">
      <c r="A64" s="274" t="s">
        <v>302</v>
      </c>
      <c r="B64" s="270">
        <f>SUM(B9+B12+B14+B15+B17+B26+B28+B39+B43+B44+B55+B63)</f>
        <v>44113869</v>
      </c>
      <c r="C64" s="270">
        <f>SUM(C9+C12+C14+C15+C17+C26+C28+C39+C43+C44+C55+C63)</f>
        <v>44113869</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Legal: Lender+Bond Issuer + MGP</v>
      </c>
      <c r="B70" s="266">
        <f>'Sources and Uses Budget'!$C69</f>
        <v>275000</v>
      </c>
      <c r="C70" s="266">
        <f>'Sources and Uses Budget'!$C69</f>
        <v>275000</v>
      </c>
      <c r="D70" s="270">
        <f t="shared" si="0"/>
        <v>0</v>
      </c>
      <c r="E70" s="268"/>
      <c r="F70" s="267"/>
    </row>
    <row r="71" spans="1:6" s="352" customFormat="1">
      <c r="A71" s="149" t="s">
        <v>1645</v>
      </c>
      <c r="B71" s="270">
        <f>SUM(B66:B70)</f>
        <v>375000</v>
      </c>
      <c r="C71" s="270">
        <f>SUM(C66:C70)</f>
        <v>375000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599515</v>
      </c>
      <c r="C76" s="266">
        <f>'Sources and Uses Budget'!$C75</f>
        <v>599515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599515</v>
      </c>
      <c r="C78" s="270">
        <f>SUM(C73:C77)</f>
        <v>599515</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1711250</v>
      </c>
      <c r="C80" s="266">
        <f>'Sources and Uses Budget'!$C79</f>
        <v>1711250</v>
      </c>
      <c r="D80" s="270">
        <f t="shared" si="1"/>
        <v>0</v>
      </c>
      <c r="E80" s="268"/>
      <c r="F80" s="267"/>
    </row>
    <row r="81" spans="1:6" s="352" customFormat="1">
      <c r="A81" s="510" t="s">
        <v>58</v>
      </c>
      <c r="B81" s="266">
        <f>'Sources and Uses Budget'!$C80</f>
        <v>395037</v>
      </c>
      <c r="C81" s="266">
        <f>'Sources and Uses Budget'!$C80</f>
        <v>395037</v>
      </c>
      <c r="D81" s="270">
        <f>C81-B81</f>
        <v>0</v>
      </c>
      <c r="E81" s="268"/>
      <c r="F81" s="267"/>
    </row>
    <row r="82" spans="1:6" s="352" customFormat="1">
      <c r="A82" s="271" t="s">
        <v>1209</v>
      </c>
      <c r="B82" s="270">
        <f>SUM(B80:B81)</f>
        <v>2106287</v>
      </c>
      <c r="C82" s="270">
        <f>SUM(C80:C81)</f>
        <v>2106287</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72796</v>
      </c>
      <c r="C84" s="266">
        <f>'Sources and Uses Budget'!$C83</f>
        <v>72796</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1602585</v>
      </c>
      <c r="C86" s="266">
        <f>'Sources and Uses Budget'!$C85</f>
        <v>1602585</v>
      </c>
      <c r="D86" s="270">
        <f t="shared" si="1"/>
        <v>0</v>
      </c>
      <c r="E86" s="268"/>
      <c r="F86" s="267"/>
    </row>
    <row r="87" spans="1:6" s="352" customFormat="1">
      <c r="A87" s="269" t="s">
        <v>769</v>
      </c>
      <c r="B87" s="266">
        <f>'Sources and Uses Budget'!$C86</f>
        <v>672415</v>
      </c>
      <c r="C87" s="266">
        <f>'Sources and Uses Budget'!$C86</f>
        <v>672415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300000</v>
      </c>
      <c r="C89" s="266">
        <f>'Sources and Uses Budget'!$C88</f>
        <v>300000</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242000</v>
      </c>
      <c r="C94" s="266">
        <f>'Sources and Uses Budget'!$C93</f>
        <v>242000</v>
      </c>
      <c r="D94" s="270">
        <f t="shared" si="1"/>
        <v>0</v>
      </c>
      <c r="E94" s="268"/>
      <c r="F94" s="267"/>
    </row>
    <row r="95" spans="1:6" s="352" customFormat="1">
      <c r="A95" s="272" t="s">
        <v>34</v>
      </c>
      <c r="B95" s="266">
        <f>'Sources and Uses Budget'!$C94</f>
        <v>47000</v>
      </c>
      <c r="C95" s="266">
        <f>'Sources and Uses Budget'!$C94</f>
        <v>47000</v>
      </c>
      <c r="D95" s="270">
        <f t="shared" si="1"/>
        <v>0</v>
      </c>
      <c r="E95" s="268"/>
      <c r="F95" s="267"/>
    </row>
    <row r="96" spans="1:6" s="352" customFormat="1">
      <c r="A96" s="272" t="s">
        <v>34</v>
      </c>
      <c r="B96" s="266">
        <f>'Sources and Uses Budget'!$C95</f>
        <v>305600</v>
      </c>
      <c r="C96" s="266">
        <f>'Sources and Uses Budget'!$C95</f>
        <v>305600</v>
      </c>
      <c r="D96" s="270">
        <f t="shared" si="1"/>
        <v>0</v>
      </c>
      <c r="E96" s="268"/>
      <c r="F96" s="267"/>
    </row>
    <row r="97" spans="1:6" s="352" customFormat="1">
      <c r="A97" s="271" t="s">
        <v>774</v>
      </c>
      <c r="B97" s="270">
        <f>SUM(B84:B96)</f>
        <v>3527396</v>
      </c>
      <c r="C97" s="270">
        <f>SUM(C84:C96)</f>
        <v>3527396</v>
      </c>
      <c r="D97" s="270">
        <f t="shared" si="1"/>
        <v>0</v>
      </c>
      <c r="E97" s="268"/>
      <c r="F97" s="267"/>
    </row>
    <row r="98" spans="1:6" s="352" customFormat="1">
      <c r="A98" s="271" t="s">
        <v>775</v>
      </c>
      <c r="B98" s="270">
        <f>SUM(B64+B71+B78+B82+B97)</f>
        <v>50722067</v>
      </c>
      <c r="C98" s="270">
        <f>SUM(C64+C71+C78+C82+C97)</f>
        <v>50722067</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6515750</v>
      </c>
      <c r="C100" s="266">
        <f>'Sources and Uses Budget'!$C99</f>
        <v>6515750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6515750</v>
      </c>
      <c r="C105" s="270">
        <f>SUM(C100:C104)</f>
        <v>6515750</v>
      </c>
      <c r="D105" s="270">
        <f t="shared" si="1"/>
        <v>0</v>
      </c>
      <c r="E105" s="268"/>
      <c r="F105" s="267"/>
    </row>
    <row r="106" spans="1:6" s="352" customFormat="1">
      <c r="A106" s="271" t="s">
        <v>780</v>
      </c>
      <c r="B106" s="273">
        <f>SUM(B98+B105)</f>
        <v>57237817</v>
      </c>
      <c r="C106" s="273">
        <f>SUM(C98+C105)</f>
        <v>57237817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Barcelo, Ruben</cp:lastModifiedBy>
  <cp:lastPrinted>2024-12-09T20:28:29Z</cp:lastPrinted>
  <dcterms:created xsi:type="dcterms:W3CDTF">2007-12-27T18:26:28Z</dcterms:created>
  <dcterms:modified xsi:type="dcterms:W3CDTF">2025-09-19T22:48:31Z</dcterms:modified>
</cp:coreProperties>
</file>