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ssetManagement/Shared Documents/Properties - Owned Assets/Green Manor/Closing #2/CDLAC &amp; CTCAC - Application/Round 3 2025/Submission/"/>
    </mc:Choice>
  </mc:AlternateContent>
  <xr:revisionPtr revIDLastSave="0" documentId="8_{7152E8EA-8E1F-400D-A1C0-371F1D378738}" xr6:coauthVersionLast="47" xr6:coauthVersionMax="47" xr10:uidLastSave="{00000000-0000-0000-0000-000000000000}"/>
  <bookViews>
    <workbookView xWindow="-120" yWindow="-120" windowWidth="29040" windowHeight="15840" firstSheet="5"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7" i="3" l="1"/>
  <c r="H315" i="3"/>
  <c r="AA918" i="3" l="1"/>
  <c r="AA919" i="3"/>
  <c r="G57" i="7"/>
  <c r="I57" i="7" s="1"/>
  <c r="K57" i="7" s="1"/>
  <c r="M57" i="7" s="1"/>
  <c r="O57" i="7" s="1"/>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3" i="7"/>
  <c r="I53" i="7" s="1"/>
  <c r="A42" i="7"/>
  <c r="A41" i="7"/>
  <c r="G141" i="21"/>
  <c r="AD199" i="20"/>
  <c r="T225" i="20"/>
  <c r="T226" i="20"/>
  <c r="T227" i="20"/>
  <c r="T228" i="20"/>
  <c r="T229" i="20"/>
  <c r="T224" i="20"/>
  <c r="N225" i="20"/>
  <c r="N226" i="20"/>
  <c r="N227" i="20"/>
  <c r="N228" i="20"/>
  <c r="N229" i="20"/>
  <c r="N224" i="20"/>
  <c r="I228" i="20"/>
  <c r="I229" i="20"/>
  <c r="I224" i="20"/>
  <c r="B150" i="20"/>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7" i="4"/>
  <c r="E6" i="4"/>
  <c r="E5" i="4"/>
  <c r="E4" i="4"/>
  <c r="I9" i="4"/>
  <c r="H9" i="4"/>
  <c r="G9" i="4"/>
  <c r="F9" i="4"/>
  <c r="E9" i="4" l="1"/>
  <c r="K53" i="7"/>
  <c r="W842" i="3"/>
  <c r="G721" i="3"/>
  <c r="I227" i="20" s="1"/>
  <c r="G719" i="3"/>
  <c r="AA656" i="3"/>
  <c r="Z653" i="3"/>
  <c r="Z654" i="3"/>
  <c r="Z652" i="3"/>
  <c r="H656" i="3"/>
  <c r="AA648" i="3"/>
  <c r="H648" i="3"/>
  <c r="G655" i="3"/>
  <c r="Z647" i="3"/>
  <c r="G647" i="3"/>
  <c r="AO640" i="3"/>
  <c r="AF629" i="3"/>
  <c r="E42" i="7" s="1"/>
  <c r="AF628" i="3"/>
  <c r="E41" i="7" s="1"/>
  <c r="AF627" i="3"/>
  <c r="AA590" i="3"/>
  <c r="H590" i="3"/>
  <c r="AA582" i="3"/>
  <c r="H582" i="3"/>
  <c r="AA573" i="3"/>
  <c r="H573" i="3"/>
  <c r="AI557" i="3"/>
  <c r="AI556" i="3"/>
  <c r="AI555" i="3"/>
  <c r="AI554" i="3"/>
  <c r="G720" i="3" l="1"/>
  <c r="I226" i="20" s="1"/>
  <c r="I225" i="20"/>
  <c r="M53" i="7"/>
  <c r="O53" i="7" l="1"/>
  <c r="Q53" i="7" l="1"/>
  <c r="S53" i="7" l="1"/>
  <c r="U53" i="7" l="1"/>
  <c r="W53" i="7" l="1"/>
  <c r="Y53" i="7" l="1"/>
  <c r="AA53" i="7" l="1"/>
  <c r="AC53" i="7" l="1"/>
  <c r="AE53" i="7" l="1"/>
  <c r="AG53" i="7"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AJ711" i="20"/>
  <c r="L100" i="21"/>
  <c r="X752" i="3" l="1"/>
  <c r="AH752" i="3"/>
  <c r="BF751" i="3"/>
  <c r="BS751" i="3"/>
  <c r="BS752"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89" i="13"/>
  <c r="E87" i="13"/>
  <c r="E85" i="13"/>
  <c r="E65" i="13"/>
  <c r="E53" i="13"/>
  <c r="E52" i="13"/>
  <c r="E51" i="13"/>
  <c r="E50" i="13"/>
  <c r="E49" i="13"/>
  <c r="E48" i="13"/>
  <c r="E47" i="13"/>
  <c r="E46" i="13"/>
  <c r="E45" i="13"/>
  <c r="E41" i="13"/>
  <c r="E37" i="13"/>
  <c r="E35" i="13"/>
  <c r="E34" i="13"/>
  <c r="E33" i="13"/>
  <c r="E32" i="13"/>
  <c r="E31" i="13"/>
  <c r="E30" i="13"/>
  <c r="E29" i="13"/>
  <c r="E2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S90" i="4" s="1"/>
  <c r="E90" i="13" s="1"/>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R43" i="4"/>
  <c r="S43" i="4" s="1"/>
  <c r="E43" i="13" s="1"/>
  <c r="R41" i="4"/>
  <c r="R40" i="4"/>
  <c r="S40" i="4" s="1"/>
  <c r="E40" i="13" s="1"/>
  <c r="R37" i="4"/>
  <c r="R35" i="4"/>
  <c r="R34" i="4"/>
  <c r="R33" i="4"/>
  <c r="R32" i="4"/>
  <c r="R31" i="4"/>
  <c r="R30" i="4"/>
  <c r="R29" i="4"/>
  <c r="R27" i="4"/>
  <c r="R25" i="4"/>
  <c r="S25" i="4" s="1"/>
  <c r="E25" i="13" s="1"/>
  <c r="R23" i="4"/>
  <c r="S23" i="4" s="1"/>
  <c r="E23" i="13" s="1"/>
  <c r="R22" i="4"/>
  <c r="S22" i="4" s="1"/>
  <c r="E22" i="13" s="1"/>
  <c r="R21" i="4"/>
  <c r="S21" i="4" s="1"/>
  <c r="E21" i="13" s="1"/>
  <c r="R20" i="4"/>
  <c r="S20" i="4" s="1"/>
  <c r="E20" i="13" s="1"/>
  <c r="R19" i="4"/>
  <c r="S19" i="4" s="1"/>
  <c r="E19" i="13" s="1"/>
  <c r="R18" i="4"/>
  <c r="S18" i="4" s="1"/>
  <c r="E18" i="13" s="1"/>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A6" i="8"/>
  <c r="D6" i="8"/>
  <c r="I6" i="8" s="1"/>
  <c r="J6" i="8" s="1"/>
  <c r="A7" i="8"/>
  <c r="D7" i="8"/>
  <c r="I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D35" i="11"/>
  <c r="J5" i="8" l="1"/>
  <c r="H9" i="13"/>
  <c r="S81" i="4"/>
  <c r="E81" i="13" s="1"/>
  <c r="S26" i="4"/>
  <c r="E26" i="13" s="1"/>
  <c r="S96" i="4"/>
  <c r="E96" i="13" s="1"/>
  <c r="AA257" i="3"/>
  <c r="AA249" i="3"/>
  <c r="J8" i="8"/>
  <c r="S42" i="4"/>
  <c r="E42" i="13" s="1"/>
  <c r="J9"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N188" i="23"/>
  <c r="C27" i="11"/>
  <c r="AB48" i="15"/>
  <c r="D46" i="11"/>
  <c r="B82" i="11"/>
  <c r="H63" i="4"/>
  <c r="H97" i="4" s="1"/>
  <c r="H105" i="4" s="1"/>
  <c r="G63" i="4"/>
  <c r="G97" i="4" s="1"/>
  <c r="G105" i="4" s="1"/>
  <c r="C9" i="11"/>
  <c r="B63" i="11"/>
  <c r="T63" i="4"/>
  <c r="B96" i="4"/>
  <c r="B38" i="4"/>
  <c r="D84" i="11"/>
  <c r="B54" i="13"/>
  <c r="K63" i="4"/>
  <c r="K97" i="4" s="1"/>
  <c r="K105" i="4" s="1"/>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AJ621" i="20"/>
  <c r="AK794" i="20" s="1"/>
  <c r="T819" i="20" s="1"/>
  <c r="AF819" i="20" s="1"/>
  <c r="BE82" i="3" s="1"/>
  <c r="G94" i="21"/>
  <c r="BE50" i="3"/>
  <c r="BQ96" i="23"/>
  <c r="BE53" i="3"/>
  <c r="BQ97" i="23"/>
  <c r="S63" i="4"/>
  <c r="S97" i="4"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BA1039" i="3"/>
  <c r="BA1048" i="3" s="1" a="1"/>
  <c r="BA1048" i="3" s="1"/>
  <c r="AZ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E63" i="13" l="1"/>
  <c r="O105" i="23"/>
  <c r="R80" i="23"/>
  <c r="R93" i="23"/>
  <c r="Z809" i="3"/>
  <c r="E6" i="7" s="1"/>
  <c r="G6" i="7" s="1"/>
  <c r="AB240" i="20"/>
  <c r="AB247" i="20" s="1"/>
  <c r="AB250" i="20" s="1"/>
  <c r="AB252" i="20" s="1"/>
  <c r="AB254" i="20" s="1"/>
  <c r="AB260" i="20" s="1"/>
  <c r="AD209" i="20" s="1"/>
  <c r="AD211" i="20" s="1"/>
  <c r="O20" i="21"/>
  <c r="P20" i="21" s="1" a="1"/>
  <c r="P20" i="21" s="1"/>
  <c r="S20" i="21" s="1"/>
  <c r="O21" i="21"/>
  <c r="P21" i="21" s="1" a="1"/>
  <c r="P21" i="21" s="1"/>
  <c r="S21" i="21" s="1"/>
  <c r="O25" i="21"/>
  <c r="P25" i="21" s="1" a="1"/>
  <c r="P25" i="21" s="1"/>
  <c r="S25" i="21" s="1"/>
  <c r="O23" i="21"/>
  <c r="P23" i="21" s="1" a="1"/>
  <c r="P23" i="21" s="1"/>
  <c r="S23" i="21" s="1"/>
  <c r="O22" i="21"/>
  <c r="P22" i="21" s="1" a="1"/>
  <c r="P22" i="21" s="1"/>
  <c r="S22" i="21" s="1"/>
  <c r="D64" i="11"/>
  <c r="B105" i="4"/>
  <c r="BE101" i="3"/>
  <c r="AK84" i="20"/>
  <c r="AK191" i="20" s="1"/>
  <c r="T811" i="20" s="1"/>
  <c r="AF811" i="20" s="1"/>
  <c r="BE76" i="3" s="1"/>
  <c r="D13" i="11"/>
  <c r="B97" i="13"/>
  <c r="B97" i="4"/>
  <c r="AZ1046" i="3"/>
  <c r="S105" i="4"/>
  <c r="E97" i="13"/>
  <c r="B105" i="13"/>
  <c r="AG269" i="20"/>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E7" i="7"/>
  <c r="M15" i="7"/>
  <c r="K22" i="7"/>
  <c r="K35" i="7" s="1"/>
  <c r="F27" i="21"/>
  <c r="G61" i="21"/>
  <c r="G63" i="21" s="1"/>
  <c r="G65" i="21" s="1"/>
  <c r="E13" i="21" s="1"/>
  <c r="F28" i="21"/>
  <c r="G28" i="21" s="1"/>
  <c r="G52" i="21"/>
  <c r="G54" i="21" s="1"/>
  <c r="G56" i="21" s="1"/>
  <c r="E12" i="21" s="1"/>
  <c r="Z818" i="3" l="1"/>
  <c r="AB266" i="20"/>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0" i="3" l="1"/>
  <c r="AJ1029" i="3"/>
  <c r="AJ1032" i="3"/>
  <c r="AJ1036" i="3" s="1"/>
  <c r="I15" i="21" s="1"/>
  <c r="H107" i="13"/>
  <c r="AC456" i="3"/>
  <c r="BE44" i="3"/>
  <c r="F457" i="3"/>
  <c r="BA1055" i="3"/>
  <c r="BA1059" i="3" s="1"/>
  <c r="N196" i="23"/>
  <c r="N186" i="23"/>
  <c r="AA1056" i="3"/>
  <c r="AF551" i="20"/>
  <c r="E107" i="13"/>
  <c r="AJ1045" i="3"/>
  <c r="AJ1049" i="3"/>
  <c r="AP553" i="20" s="1"/>
  <c r="AP550" i="20"/>
  <c r="K4" i="7"/>
  <c r="M4" i="7" s="1"/>
  <c r="E45" i="7"/>
  <c r="G45" i="7"/>
  <c r="G55" i="7" s="1"/>
  <c r="G58" i="7" s="1"/>
  <c r="G49" i="7"/>
  <c r="K6" i="7"/>
  <c r="I7" i="7"/>
  <c r="I11" i="7" s="1"/>
  <c r="I37" i="7" s="1"/>
  <c r="G26" i="21"/>
  <c r="F29" i="21"/>
  <c r="G29" i="21"/>
  <c r="O22" i="7"/>
  <c r="O35" i="7" s="1"/>
  <c r="Q15" i="7"/>
  <c r="O9" i="7"/>
  <c r="Q8" i="7"/>
  <c r="E48" i="7" l="1"/>
  <c r="E55" i="7"/>
  <c r="E58" i="7" s="1"/>
  <c r="E60" i="7" s="1"/>
  <c r="E62" i="7" s="1"/>
  <c r="T11" i="15"/>
  <c r="T23" i="15" s="1"/>
  <c r="T26" i="15" s="1"/>
  <c r="T28" i="15" s="1"/>
  <c r="Y11" i="15"/>
  <c r="Y23" i="15" s="1"/>
  <c r="Y26" i="15" s="1"/>
  <c r="Y28" i="15" s="1"/>
  <c r="Y64" i="15" s="1"/>
  <c r="Y68" i="15" s="1"/>
  <c r="Y69" i="15" s="1"/>
  <c r="AD11" i="15"/>
  <c r="AD23" i="15" s="1"/>
  <c r="AD26" i="15" s="1"/>
  <c r="AD28" i="15" s="1"/>
  <c r="AI11" i="15"/>
  <c r="AI23" i="15" s="1"/>
  <c r="AI26" i="15" s="1"/>
  <c r="AI28" i="15" s="1"/>
  <c r="AJ1053" i="3"/>
  <c r="AA1057" i="3" s="1"/>
  <c r="G1058" i="3" s="1"/>
  <c r="AP552" i="20"/>
  <c r="AP554" i="20" s="1"/>
  <c r="K5" i="7"/>
  <c r="E47" i="7"/>
  <c r="O4" i="7"/>
  <c r="M5" i="7"/>
  <c r="I45" i="7"/>
  <c r="I55" i="7" s="1"/>
  <c r="I58" i="7" s="1"/>
  <c r="I49" i="7"/>
  <c r="M6" i="7"/>
  <c r="K7" i="7"/>
  <c r="G60" i="7"/>
  <c r="G47" i="7"/>
  <c r="G48" i="7"/>
  <c r="Q22" i="7"/>
  <c r="Q35" i="7" s="1"/>
  <c r="S15" i="7"/>
  <c r="G79" i="21"/>
  <c r="G31" i="21"/>
  <c r="G33" i="21" s="1"/>
  <c r="E9" i="21" s="1"/>
  <c r="G88" i="21"/>
  <c r="G90" i="21" s="1"/>
  <c r="E16" i="21" s="1"/>
  <c r="G111" i="21"/>
  <c r="G96" i="21"/>
  <c r="Q9" i="7"/>
  <c r="S8" i="7"/>
  <c r="T29" i="15" l="1"/>
  <c r="G80" i="21"/>
  <c r="E15" i="21" s="1"/>
  <c r="T24" i="15"/>
  <c r="Y38" i="15" s="1"/>
  <c r="Y40" i="15" s="1"/>
  <c r="AP557" i="20"/>
  <c r="AP556" i="20" s="1"/>
  <c r="AP559" i="20" s="1"/>
  <c r="AF552" i="20" s="1"/>
  <c r="AF553" i="20" s="1"/>
  <c r="AK559" i="20" s="1"/>
  <c r="T818" i="20" s="1"/>
  <c r="AF818" i="20" s="1"/>
  <c r="BE81" i="3" s="1"/>
  <c r="K11" i="7"/>
  <c r="K37" i="7" s="1"/>
  <c r="K45" i="7" s="1"/>
  <c r="K55" i="7" s="1"/>
  <c r="K58" i="7" s="1"/>
  <c r="E66" i="7"/>
  <c r="E67" i="7"/>
  <c r="O5" i="7"/>
  <c r="Q4" i="7"/>
  <c r="M7" i="7"/>
  <c r="M11" i="7" s="1"/>
  <c r="M37" i="7" s="1"/>
  <c r="O6" i="7"/>
  <c r="G67" i="7"/>
  <c r="G62" i="7"/>
  <c r="G66" i="7"/>
  <c r="I48" i="7"/>
  <c r="I60" i="7"/>
  <c r="I47" i="7"/>
  <c r="G101" i="21"/>
  <c r="G113" i="21"/>
  <c r="G97" i="21"/>
  <c r="S22" i="7"/>
  <c r="S35" i="7" s="1"/>
  <c r="U15" i="7"/>
  <c r="U8" i="7"/>
  <c r="S9" i="7"/>
  <c r="AD38" i="15" l="1"/>
  <c r="AD40" i="15" s="1"/>
  <c r="Y41" i="15" s="1"/>
  <c r="AB56" i="15" s="1"/>
  <c r="G115" i="21"/>
  <c r="E17" i="21" s="1"/>
  <c r="E14" i="21" s="1"/>
  <c r="E18" i="21" s="1"/>
  <c r="K49" i="7"/>
  <c r="E70" i="7"/>
  <c r="E72" i="7" s="1"/>
  <c r="S4" i="7"/>
  <c r="Q5" i="7"/>
  <c r="G70" i="7"/>
  <c r="G72" i="7" s="1"/>
  <c r="O7" i="7"/>
  <c r="O11" i="7" s="1"/>
  <c r="O37" i="7" s="1"/>
  <c r="Q6" i="7"/>
  <c r="M45" i="7"/>
  <c r="M55" i="7" s="1"/>
  <c r="M58" i="7" s="1"/>
  <c r="M49" i="7"/>
  <c r="I66" i="7"/>
  <c r="I67" i="7"/>
  <c r="I62" i="7"/>
  <c r="K47" i="7"/>
  <c r="K60" i="7"/>
  <c r="K48" i="7"/>
  <c r="U22" i="7"/>
  <c r="U35" i="7" s="1"/>
  <c r="W15" i="7"/>
  <c r="U9" i="7"/>
  <c r="W8" i="7"/>
  <c r="M26" i="3" l="1"/>
  <c r="BE19" i="3" s="1"/>
  <c r="U4" i="7"/>
  <c r="S5" i="7"/>
  <c r="M48" i="7"/>
  <c r="M47" i="7"/>
  <c r="M60" i="7"/>
  <c r="O45" i="7"/>
  <c r="O55" i="7" s="1"/>
  <c r="O58" i="7" s="1"/>
  <c r="O49" i="7"/>
  <c r="K66" i="7"/>
  <c r="K67" i="7"/>
  <c r="K62" i="7"/>
  <c r="Q7" i="7"/>
  <c r="Q11" i="7" s="1"/>
  <c r="Q37" i="7" s="1"/>
  <c r="S6" i="7"/>
  <c r="I70" i="7"/>
  <c r="I72" i="7" s="1"/>
  <c r="W22" i="7"/>
  <c r="W35" i="7" s="1"/>
  <c r="Y15" i="7"/>
  <c r="W9" i="7"/>
  <c r="Y8" i="7"/>
  <c r="AB57" i="15" l="1"/>
  <c r="P204" i="3"/>
  <c r="U5" i="7"/>
  <c r="W4" i="7"/>
  <c r="Q49" i="7"/>
  <c r="Q45" i="7"/>
  <c r="Q55" i="7" s="1"/>
  <c r="Q58" i="7" s="1"/>
  <c r="M62" i="7"/>
  <c r="M67" i="7"/>
  <c r="M66" i="7"/>
  <c r="O47" i="7"/>
  <c r="O48" i="7"/>
  <c r="O60" i="7"/>
  <c r="K70" i="7"/>
  <c r="K72" i="7" s="1"/>
  <c r="S7" i="7"/>
  <c r="S11" i="7" s="1"/>
  <c r="S37" i="7" s="1"/>
  <c r="U6" i="7"/>
  <c r="Y22" i="7"/>
  <c r="Y35" i="7" s="1"/>
  <c r="AA15" i="7"/>
  <c r="Y9" i="7"/>
  <c r="AA8" i="7"/>
  <c r="AB59" i="15" l="1"/>
  <c r="AB77" i="15" s="1"/>
  <c r="M70" i="7"/>
  <c r="M72" i="7" s="1"/>
  <c r="W5" i="7"/>
  <c r="Y4" i="7"/>
  <c r="U7" i="7"/>
  <c r="U11" i="7" s="1"/>
  <c r="U37" i="7" s="1"/>
  <c r="W6" i="7"/>
  <c r="O67" i="7"/>
  <c r="O66" i="7"/>
  <c r="O62" i="7"/>
  <c r="Q60" i="7"/>
  <c r="Q48" i="7"/>
  <c r="Q47" i="7"/>
  <c r="S49" i="7"/>
  <c r="S45" i="7"/>
  <c r="S55" i="7" s="1"/>
  <c r="S58" i="7" s="1"/>
  <c r="AC15" i="7"/>
  <c r="AA22" i="7"/>
  <c r="AA35" i="7" s="1"/>
  <c r="AC8" i="7"/>
  <c r="AA9" i="7"/>
  <c r="AB78" i="15" l="1"/>
  <c r="AB79" i="15" s="1"/>
  <c r="AB81" i="15" s="1"/>
  <c r="J82" i="15" s="1"/>
  <c r="AA4" i="7"/>
  <c r="Y5" i="7"/>
  <c r="Y6" i="7"/>
  <c r="W7" i="7"/>
  <c r="W11" i="7" s="1"/>
  <c r="W37" i="7" s="1"/>
  <c r="U45" i="7"/>
  <c r="U55" i="7" s="1"/>
  <c r="U58" i="7" s="1"/>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W55" i="7" s="1"/>
  <c r="W58" i="7" s="1"/>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Y55" i="7" s="1"/>
  <c r="Y58" i="7" s="1"/>
  <c r="W60" i="7"/>
  <c r="W47" i="7"/>
  <c r="W48" i="7"/>
  <c r="AE5" i="7" l="1"/>
  <c r="AG4" i="7"/>
  <c r="AA45" i="7"/>
  <c r="AA55" i="7" s="1"/>
  <c r="AA58" i="7" s="1"/>
  <c r="AA49" i="7"/>
  <c r="U70" i="7"/>
  <c r="U72" i="7" s="1"/>
  <c r="W67" i="7"/>
  <c r="W62" i="7"/>
  <c r="W66" i="7"/>
  <c r="Y47" i="7"/>
  <c r="Y48" i="7"/>
  <c r="Y60" i="7"/>
  <c r="AE6" i="7"/>
  <c r="AC7" i="7"/>
  <c r="AC11" i="7" s="1"/>
  <c r="AC37" i="7" s="1"/>
  <c r="AG5" i="7" l="1"/>
  <c r="W70" i="7"/>
  <c r="W72" i="7" s="1"/>
  <c r="AA60" i="7"/>
  <c r="AA47" i="7"/>
  <c r="AA48" i="7"/>
  <c r="AC45" i="7"/>
  <c r="AC55" i="7" s="1"/>
  <c r="AC58" i="7" s="1"/>
  <c r="AC49" i="7"/>
  <c r="AE7" i="7"/>
  <c r="AE11" i="7" s="1"/>
  <c r="AE37" i="7" s="1"/>
  <c r="AG6" i="7"/>
  <c r="Y67" i="7"/>
  <c r="Y62" i="7"/>
  <c r="Y66" i="7"/>
  <c r="Y70" i="7" l="1"/>
  <c r="Y72" i="7" s="1"/>
  <c r="AG7" i="7"/>
  <c r="AG11" i="7" s="1"/>
  <c r="AG37" i="7" s="1"/>
  <c r="AE49" i="7"/>
  <c r="AE45" i="7"/>
  <c r="AE55" i="7" s="1"/>
  <c r="AE58" i="7" s="1"/>
  <c r="AC60" i="7"/>
  <c r="AC48" i="7"/>
  <c r="AC47" i="7"/>
  <c r="AA66" i="7"/>
  <c r="AA67" i="7"/>
  <c r="AA62" i="7"/>
  <c r="AA70" i="7" l="1"/>
  <c r="AA72" i="7" s="1"/>
  <c r="AC66" i="7"/>
  <c r="AC62" i="7"/>
  <c r="AC67" i="7"/>
  <c r="AE47" i="7"/>
  <c r="AE60" i="7"/>
  <c r="AE48" i="7"/>
  <c r="AG49" i="7"/>
  <c r="AG45" i="7"/>
  <c r="AG55" i="7" s="1"/>
  <c r="AG58" i="7" s="1"/>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AB014FE1-EC70-4E34-88FF-2B5F05017EB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84A04578-F173-49FC-8C66-CBF32BA06549}">
      <text>
        <r>
          <rPr>
            <sz val="9"/>
            <color indexed="81"/>
            <rFont val="Tahoma"/>
            <family val="2"/>
          </rPr>
          <t>Input tax-exempt bond amount.  This cell is linked to the tie breaker.  Do not include any taxable bond amount.</t>
        </r>
      </text>
    </comment>
    <comment ref="C627" authorId="0" shapeId="0" xr:uid="{1E65EAA3-2F00-432A-94A5-D9FDEC3948E6}">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<sst xmlns="http://schemas.openxmlformats.org/spreadsheetml/2006/main" count="5010" uniqueCount="2743">
  <si>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</si>
  <si>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</si>
  <si>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</si>
  <si>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</si>
  <si>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</si>
  <si>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</si>
  <si>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</si>
  <si>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</si>
  <si>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</si>
  <si>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</si>
  <si>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</si>
  <si>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</si>
  <si>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</si>
  <si>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</si>
  <si>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</si>
  <si>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</si>
  <si>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</si>
  <si>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</si>
  <si>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</si>
  <si>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</si>
  <si>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</si>
  <si>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</si>
  <si>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</si>
  <si>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</si>
  <si>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</si>
  <si>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</si>
  <si>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</si>
  <si>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</si>
  <si>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</si>
  <si>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</si>
  <si>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</si>
  <si>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</si>
  <si>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</si>
  <si>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</si>
  <si>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</si>
  <si>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</si>
  <si>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</si>
  <si>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</si>
  <si>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</si>
  <si>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</si>
  <si>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</si>
  <si>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</si>
  <si>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</si>
  <si>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</si>
  <si>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</si>
  <si>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</si>
  <si>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</si>
  <si>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</si>
  <si>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</si>
  <si>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</si>
  <si>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</si>
  <si>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</si>
  <si>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</si>
  <si>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</si>
  <si>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</si>
  <si>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</si>
  <si>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</si>
  <si>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</si>
  <si>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</si>
  <si>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</si>
  <si>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</si>
  <si>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</si>
  <si>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</si>
  <si>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</si>
  <si>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</si>
  <si>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</si>
  <si>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</si>
  <si>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</si>
  <si>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</si>
  <si>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</si>
  <si>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</si>
  <si>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</si>
  <si>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</si>
  <si>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</si>
  <si>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</si>
  <si>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</si>
  <si>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</si>
  <si>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</si>
  <si>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</si>
  <si>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</si>
  <si>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</si>
  <si>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</si>
  <si>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</si>
  <si>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</si>
  <si>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</si>
  <si>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</si>
  <si>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</si>
  <si>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</si>
  <si>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</si>
  <si>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</si>
  <si>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</si>
  <si>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</si>
  <si>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</si>
  <si>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</si>
  <si>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</si>
  <si>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</si>
  <si>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</si>
  <si>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</si>
  <si>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</si>
  <si>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</si>
  <si>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</si>
  <si>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</si>
  <si>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</si>
  <si>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</si>
  <si>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</si>
  <si>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</si>
  <si>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</si>
  <si>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</si>
  <si>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</si>
  <si>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</si>
  <si>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</si>
  <si>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</si>
  <si>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</si>
  <si>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</si>
  <si>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</si>
  <si>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</si>
  <si>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</si>
  <si>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</si>
  <si>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</si>
  <si>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</si>
  <si>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</si>
  <si>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</si>
  <si>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</si>
  <si>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</si>
  <si>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</si>
  <si>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</si>
  <si>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</si>
  <si>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</si>
  <si>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</si>
  <si>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</si>
  <si>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</si>
  <si>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</si>
  <si>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</si>
  <si>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</si>
  <si>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</si>
  <si>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</si>
  <si>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</si>
  <si>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</si>
  <si>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</si>
  <si>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</si>
  <si>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</si>
  <si>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</si>
  <si>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</si>
  <si>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</si>
  <si>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</si>
  <si>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</si>
  <si>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</si>
  <si>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</si>
  <si>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</si>
  <si>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</si>
  <si>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</si>
  <si>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</si>
  <si>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</si>
  <si>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</si>
  <si>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</si>
  <si>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</si>
  <si>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</si>
  <si>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</si>
  <si>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</si>
  <si>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</si>
  <si>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</si>
  <si>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</si>
  <si>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</si>
  <si>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</si>
  <si>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</si>
  <si>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</si>
  <si>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</si>
  <si>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</si>
  <si>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</si>
  <si>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</si>
  <si>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</si>
  <si>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</si>
  <si>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</si>
  <si>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</si>
  <si>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</si>
  <si>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</si>
  <si>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</si>
  <si>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</si>
  <si>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</si>
  <si>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</si>
  <si>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</si>
  <si>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</si>
  <si>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</si>
  <si>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</si>
  <si>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</si>
  <si>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</si>
  <si>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</si>
  <si>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</si>
  <si>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</si>
  <si>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</si>
  <si>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</si>
  <si>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</si>
  <si>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</si>
  <si>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</si>
  <si>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</si>
  <si>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</si>
  <si>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</si>
  <si>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</si>
  <si>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</si>
  <si>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</si>
  <si>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</si>
  <si>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</si>
  <si>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</si>
  <si>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</si>
  <si>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</si>
  <si>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</si>
  <si>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</si>
  <si>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</si>
  <si>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</si>
  <si>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</si>
  <si>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</si>
  <si>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</si>
  <si>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</si>
  <si>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</si>
  <si>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</si>
  <si>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</si>
  <si>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</si>
  <si>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</si>
  <si>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</si>
  <si>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</si>
  <si>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</si>
  <si>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</si>
  <si>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</si>
  <si>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</si>
  <si>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</si>
  <si>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</si>
  <si>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</si>
  <si>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</si>
  <si>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</si>
  <si>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</si>
  <si>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</si>
  <si>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</si>
  <si>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</si>
  <si>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</si>
  <si>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</si>
  <si>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</si>
  <si>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</si>
  <si>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</si>
  <si>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</si>
  <si>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</si>
  <si>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</si>
  <si>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</si>
  <si>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</si>
  <si>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</si>
  <si>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</si>
  <si>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</si>
  <si>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</si>
  <si>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</si>
  <si>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</si>
  <si>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</si>
  <si>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</si>
  <si>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</si>
  <si>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</si>
  <si>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</si>
  <si>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</si>
  <si>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</si>
  <si>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</si>
  <si>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</si>
  <si>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</si>
  <si>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</si>
  <si>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</si>
  <si>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</si>
  <si>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</si>
  <si>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</si>
  <si>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</si>
  <si>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</si>
  <si>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</si>
  <si>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</si>
  <si>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</si>
  <si>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</si>
  <si>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</si>
  <si>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</si>
  <si>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</si>
  <si>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</si>
  <si>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</si>
  <si>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</si>
  <si>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</si>
  <si>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</si>
  <si>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</si>
  <si>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</si>
  <si>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</si>
  <si>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</si>
  <si>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</si>
  <si>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</si>
  <si>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</si>
  <si>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</si>
  <si>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</si>
  <si>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</si>
  <si>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</si>
  <si>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</si>
  <si>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</si>
  <si>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</si>
  <si>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</si>
  <si>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</si>
  <si>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</si>
  <si>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</si>
  <si>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</si>
  <si>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</si>
  <si>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</si>
  <si>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</si>
  <si>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</si>
  <si>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</si>
  <si>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</si>
  <si>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</si>
  <si>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</si>
  <si>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</si>
  <si>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</si>
  <si>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</si>
  <si>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</si>
  <si>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</si>
  <si>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</si>
  <si>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</si>
  <si>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</si>
  <si>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</si>
  <si>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</si>
  <si>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</si>
  <si>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</si>
  <si>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</si>
  <si>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</si>
  <si>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</si>
  <si>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</si>
  <si>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</si>
  <si>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</si>
  <si>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</si>
  <si>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</si>
  <si>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</si>
  <si>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</si>
  <si>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</si>
  <si>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</si>
  <si>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</si>
  <si>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</si>
  <si>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</si>
  <si>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</si>
  <si>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</si>
  <si>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</si>
  <si>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</si>
  <si>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</si>
  <si>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</si>
  <si>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</si>
  <si>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</si>
  <si>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</si>
  <si>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</si>
  <si>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</si>
  <si>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</si>
  <si>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</si>
  <si>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</si>
  <si>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</si>
  <si>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</si>
  <si>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</si>
  <si>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</si>
  <si>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</si>
  <si>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</si>
  <si>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</si>
  <si>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</si>
  <si>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</si>
  <si>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</si>
  <si>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</si>
  <si>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</si>
  <si>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</si>
  <si>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</si>
  <si>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</si>
  <si>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</si>
  <si>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</si>
  <si>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</si>
  <si>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</si>
  <si>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</si>
  <si>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</si>
  <si>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</si>
  <si>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</si>
  <si>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</si>
  <si>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</si>
  <si>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</si>
  <si>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</si>
  <si>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</si>
  <si>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</si>
  <si>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</si>
  <si>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</si>
  <si>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</si>
  <si>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</si>
  <si>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</si>
  <si>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</si>
  <si>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</si>
  <si>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</si>
  <si>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</si>
  <si>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</si>
  <si>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</si>
  <si>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</si>
  <si>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</si>
  <si>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</si>
  <si>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</si>
  <si>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</si>
  <si>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</si>
  <si>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</si>
  <si>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</si>
  <si>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</si>
  <si>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</si>
  <si>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</si>
  <si>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</si>
  <si>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</si>
  <si>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</si>
  <si>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</si>
  <si>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</si>
  <si>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</si>
  <si>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</si>
  <si>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</si>
  <si>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</si>
  <si>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</si>
  <si>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</si>
  <si>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</si>
  <si>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</si>
  <si>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</si>
  <si>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</si>
  <si>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</si>
  <si>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</si>
  <si>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</si>
  <si>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</si>
  <si>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</si>
  <si>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</si>
  <si>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</si>
  <si>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</si>
  <si>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</si>
  <si>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</si>
  <si>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</si>
  <si>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</si>
  <si>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</si>
  <si>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</si>
  <si>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</si>
  <si>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</si>
  <si>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</si>
  <si>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</si>
  <si>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</si>
  <si>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</si>
  <si>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</si>
  <si>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</si>
  <si>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</si>
  <si>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</si>
  <si>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</si>
  <si>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</si>
  <si>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</si>
  <si>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</si>
  <si>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</si>
  <si>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</si>
  <si>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</si>
  <si>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</si>
  <si>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</si>
  <si>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</si>
  <si>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</si>
  <si>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</si>
  <si>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</si>
  <si>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</si>
  <si>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</si>
  <si>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</si>
  <si>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</si>
  <si>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</si>
  <si>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</si>
  <si>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</si>
  <si>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</si>
  <si>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</si>
  <si>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</si>
  <si>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</si>
  <si>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</si>
  <si>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</si>
  <si>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</si>
  <si>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</si>
  <si>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</si>
  <si>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</si>
  <si>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</si>
  <si>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</si>
  <si>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</si>
  <si>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</si>
  <si>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</si>
  <si>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</si>
  <si>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</si>
  <si>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</si>
  <si>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</si>
  <si>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</si>
  <si>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</si>
  <si>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</si>
  <si>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</si>
  <si>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</si>
  <si>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</si>
  <si>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</si>
  <si>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</si>
  <si>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</si>
  <si>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</si>
  <si>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</si>
  <si>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</si>
  <si>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</si>
  <si>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</si>
  <si>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</si>
  <si>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</si>
  <si>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</si>
  <si>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</si>
  <si>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</si>
  <si>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</si>
  <si>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</si>
  <si>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</si>
  <si>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</si>
  <si>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</si>
  <si>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</si>
  <si>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</si>
  <si>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</si>
  <si>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</si>
  <si>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</si>
  <si>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</si>
  <si>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</si>
  <si>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</si>
  <si>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</si>
  <si>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</si>
  <si>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</si>
  <si>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</si>
  <si>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</si>
  <si>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</si>
  <si>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</si>
  <si>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</si>
  <si>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</si>
  <si>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</si>
  <si>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</si>
  <si>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</si>
  <si>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</si>
  <si>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</si>
  <si>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</si>
  <si>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</si>
  <si>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</si>
  <si>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</si>
  <si>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</si>
  <si>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</si>
  <si>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</si>
  <si>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</si>
  <si>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</si>
  <si>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</si>
  <si>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</si>
  <si>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</si>
  <si>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</si>
  <si>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</si>
  <si>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</si>
  <si>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</si>
  <si>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</si>
  <si>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</si>
  <si>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</si>
  <si>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</si>
  <si>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</si>
  <si>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</si>
  <si>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</si>
  <si>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</si>
  <si>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</si>
  <si>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</si>
  <si>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</si>
  <si>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</si>
  <si>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</si>
  <si>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</si>
  <si>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</si>
  <si>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</si>
  <si>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</si>
  <si>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</si>
  <si>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</si>
  <si>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</si>
  <si>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</si>
  <si>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</si>
  <si>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</si>
  <si>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</si>
  <si>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</si>
  <si>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</si>
  <si>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</si>
  <si>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</si>
  <si>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</si>
  <si>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</si>
  <si>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</si>
  <si>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</si>
  <si>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</si>
  <si>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</si>
  <si>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</si>
  <si>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</si>
  <si>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</si>
  <si>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</si>
  <si>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</si>
  <si>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</si>
  <si>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</si>
  <si>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</si>
  <si>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</si>
  <si>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</si>
  <si>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</si>
  <si>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</si>
  <si>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</si>
  <si>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</si>
  <si>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</si>
  <si>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</si>
  <si>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</si>
  <si>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</si>
  <si>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</si>
  <si>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</si>
  <si>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</si>
  <si>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</si>
  <si>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</si>
  <si>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</si>
  <si>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</si>
  <si>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</si>
  <si>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</si>
  <si>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</si>
  <si>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</si>
  <si>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</si>
  <si>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</si>
  <si>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</si>
  <si>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</si>
  <si>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</si>
  <si>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</si>
  <si>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</si>
  <si>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</si>
  <si>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</si>
  <si>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</si>
  <si>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</si>
  <si>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</si>
  <si>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</si>
  <si>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</si>
  <si>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</si>
  <si>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</si>
  <si>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</si>
  <si>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</si>
  <si>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</si>
  <si>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</si>
  <si>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</si>
  <si>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</si>
  <si>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</si>
  <si>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</si>
  <si>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</si>
  <si>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</si>
  <si>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</si>
  <si>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</si>
  <si>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</si>
  <si>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</si>
  <si>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</si>
  <si>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</si>
  <si>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</si>
  <si>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</si>
  <si>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</si>
  <si>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</si>
  <si>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</si>
  <si>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</si>
  <si>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</si>
  <si>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</si>
  <si>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</si>
  <si>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</si>
  <si>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</si>
  <si>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</si>
  <si>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</si>
  <si>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</si>
  <si>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</si>
  <si>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</si>
  <si>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</si>
  <si>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</si>
  <si>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</si>
  <si>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</si>
  <si>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</si>
  <si>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</si>
  <si>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</si>
  <si>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</si>
  <si>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</si>
  <si>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</si>
  <si>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</si>
  <si>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</si>
  <si>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</si>
  <si>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</si>
  <si>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</si>
  <si>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</si>
  <si>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</si>
  <si>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</si>
  <si>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</si>
  <si>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</si>
  <si>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</si>
  <si>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</si>
  <si>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</si>
  <si>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</si>
  <si>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</si>
  <si>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</si>
  <si>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</si>
  <si>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</si>
  <si>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</si>
  <si>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</si>
  <si>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</si>
  <si>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</si>
  <si>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</si>
  <si>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</si>
  <si>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</si>
  <si>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</si>
  <si>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</si>
  <si>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</si>
  <si>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</si>
  <si>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</si>
  <si>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</si>
  <si>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</si>
  <si>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</si>
  <si>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</si>
  <si>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</si>
  <si>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</si>
  <si>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</si>
  <si>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</si>
  <si>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</si>
  <si>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</si>
  <si>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</si>
  <si>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</si>
  <si>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</si>
  <si>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</si>
  <si>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</si>
  <si>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</si>
  <si>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</si>
  <si>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</si>
  <si>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</si>
  <si>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</si>
  <si>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</si>
  <si>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</si>
  <si>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</si>
  <si>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</si>
  <si>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</si>
  <si>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</si>
  <si>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</si>
  <si>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</si>
  <si>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</si>
  <si>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</si>
  <si>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</si>
  <si>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</si>
  <si>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</si>
  <si>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</si>
  <si>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</si>
  <si>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</si>
  <si>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</si>
  <si>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</si>
  <si>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</si>
  <si>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</si>
  <si>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</si>
  <si>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</si>
  <si>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</si>
  <si>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</si>
  <si>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</si>
  <si>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</si>
  <si>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</si>
  <si>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</si>
  <si>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</si>
  <si>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</si>
  <si>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</si>
  <si>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</si>
  <si>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</si>
  <si>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</si>
  <si>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</si>
  <si>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</si>
  <si>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</si>
  <si>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</si>
  <si>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</si>
  <si>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</si>
  <si>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</si>
  <si>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</si>
  <si>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</si>
  <si>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</si>
  <si>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</si>
  <si>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</si>
  <si>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</si>
  <si>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</si>
  <si>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</si>
  <si>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</si>
  <si>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</si>
  <si>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</si>
  <si>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</si>
  <si>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</si>
  <si>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</si>
  <si>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</si>
  <si>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</si>
  <si>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</si>
  <si>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</si>
  <si>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</si>
  <si>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</si>
  <si>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</si>
  <si>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</si>
  <si>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</si>
  <si>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</si>
  <si>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</si>
  <si>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</si>
  <si>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</si>
  <si>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</si>
  <si>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</si>
  <si>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</si>
  <si>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</si>
  <si>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</si>
  <si>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</si>
  <si>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</si>
  <si>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</si>
  <si>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</si>
  <si>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</si>
  <si>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</si>
  <si>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</si>
  <si>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</si>
  <si>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</si>
  <si>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</si>
  <si>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</si>
  <si>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</si>
  <si>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</si>
  <si>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</si>
  <si>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</si>
  <si>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</si>
  <si>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</si>
  <si>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</si>
  <si>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</si>
  <si>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</si>
  <si>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</si>
  <si>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</si>
  <si>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</si>
  <si>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</si>
  <si>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</si>
  <si>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</si>
  <si>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</si>
  <si>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</si>
  <si>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</si>
  <si>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</si>
  <si>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</si>
  <si>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</si>
  <si>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</si>
  <si>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</si>
  <si>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</si>
  <si>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</si>
  <si>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</si>
  <si>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</si>
  <si>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</si>
  <si>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</si>
  <si>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</si>
  <si>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</si>
  <si>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</si>
  <si>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</si>
  <si>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</si>
  <si>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</si>
  <si>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</si>
  <si>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</si>
  <si>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</si>
  <si>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</si>
  <si>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</si>
  <si>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</si>
  <si>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</si>
  <si>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</si>
  <si>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</si>
  <si>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</si>
  <si>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</si>
  <si>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</si>
  <si>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</si>
  <si>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</si>
  <si>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</si>
  <si>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</si>
  <si>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</si>
  <si>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</si>
  <si>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</si>
  <si>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</si>
  <si>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</si>
  <si>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</si>
  <si>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</si>
  <si>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</si>
  <si>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</si>
  <si>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</si>
  <si>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</si>
  <si>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</si>
  <si>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</si>
  <si>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</si>
  <si>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</si>
  <si>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</si>
  <si>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</si>
  <si>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</si>
  <si>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</si>
  <si>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</si>
  <si>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</si>
  <si>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</si>
  <si>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</si>
  <si>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</si>
  <si>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</si>
  <si>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</si>
  <si>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</si>
  <si>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</si>
  <si>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</si>
  <si>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</si>
  <si>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</si>
  <si>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</si>
  <si>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</si>
  <si>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</si>
  <si>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</si>
  <si>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</si>
  <si>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</si>
  <si>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</si>
  <si>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</si>
  <si>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</si>
  <si>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</si>
  <si>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</si>
  <si>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</si>
  <si>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</si>
  <si>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</si>
  <si>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</si>
  <si>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</si>
  <si>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</si>
  <si>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</si>
  <si>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</si>
  <si>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</si>
  <si>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</si>
  <si>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</si>
  <si>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</si>
  <si>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</si>
  <si>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</si>
  <si>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</si>
  <si>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</si>
  <si>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</si>
  <si>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</si>
  <si>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</si>
  <si>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</si>
  <si>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</si>
  <si>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</si>
  <si>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</si>
  <si>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</si>
  <si>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</si>
  <si>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</si>
  <si>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</si>
  <si>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</si>
  <si>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</si>
  <si>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</si>
  <si>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</si>
  <si>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</si>
  <si>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</si>
  <si>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</si>
  <si>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</si>
  <si>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</si>
  <si>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</si>
  <si>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</si>
  <si>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</si>
  <si>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</si>
  <si>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</si>
  <si>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</si>
  <si>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</si>
  <si>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</si>
  <si>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</si>
  <si>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</si>
  <si>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</si>
  <si>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</si>
  <si>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</si>
  <si>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</si>
  <si>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</si>
  <si>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</si>
  <si>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</si>
  <si>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</si>
  <si>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</si>
  <si>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</si>
  <si>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</si>
  <si>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</si>
  <si>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</si>
  <si>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</si>
  <si>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</si>
  <si>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</si>
  <si>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</si>
  <si>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</si>
  <si>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</si>
  <si>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</si>
  <si>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</si>
  <si>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</si>
  <si>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</si>
  <si>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</si>
  <si>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</si>
  <si>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</si>
  <si>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</si>
  <si>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</si>
  <si>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</si>
  <si>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</si>
  <si>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</si>
  <si>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</si>
  <si>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</si>
  <si>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</si>
  <si>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</si>
  <si>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</si>
  <si>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</si>
  <si>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</si>
  <si>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</si>
  <si>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</si>
  <si>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</si>
  <si>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</si>
  <si>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</si>
  <si>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</si>
  <si>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</si>
  <si>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</si>
  <si>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</si>
  <si>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</si>
  <si>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</si>
  <si>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</si>
  <si>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</si>
  <si>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</si>
  <si>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</si>
  <si>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</si>
  <si>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</si>
  <si>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</si>
  <si>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</si>
  <si>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</si>
  <si>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</si>
  <si>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</si>
  <si>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</si>
  <si>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</si>
  <si>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</si>
  <si>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</si>
  <si>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</si>
  <si>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</si>
  <si>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</si>
  <si>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</si>
  <si>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</si>
  <si>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</si>
  <si>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</si>
  <si>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</si>
  <si>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</si>
  <si>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</si>
  <si>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</si>
  <si>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</si>
  <si>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</si>
  <si>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</si>
  <si>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</si>
  <si>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</si>
  <si>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</si>
  <si>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</si>
  <si>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</si>
  <si>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</si>
  <si>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</si>
  <si>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</si>
  <si>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</si>
  <si>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</si>
  <si>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</si>
  <si>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</si>
  <si>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</si>
  <si>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</si>
  <si>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</si>
  <si>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</si>
  <si>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</si>
  <si>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</si>
  <si>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</si>
  <si>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</si>
  <si>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</si>
  <si>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</si>
  <si>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</si>
  <si>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</si>
  <si>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</si>
  <si>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</si>
  <si>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</si>
  <si>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</si>
  <si>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</si>
  <si>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</si>
  <si>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</si>
  <si>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</si>
  <si>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</si>
  <si>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</si>
  <si>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</si>
  <si>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</si>
  <si>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</si>
  <si>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</si>
  <si>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</si>
  <si>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</si>
  <si>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</si>
  <si>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</si>
  <si>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</si>
  <si>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</si>
  <si>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</si>
  <si>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</si>
  <si>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</si>
  <si>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</si>
  <si>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</si>
  <si>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</si>
  <si>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</si>
  <si>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</si>
  <si>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</si>
  <si>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</si>
  <si>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</si>
  <si>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</si>
  <si>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</si>
  <si>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</si>
  <si>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</si>
  <si>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</si>
  <si>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</si>
  <si>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</si>
  <si>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</si>
  <si>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</si>
  <si>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</si>
  <si>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</si>
  <si>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</si>
  <si>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</si>
  <si>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</si>
  <si>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</si>
  <si>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</si>
  <si>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</si>
  <si>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</si>
  <si>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</si>
  <si>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</si>
  <si>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</si>
  <si>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</si>
  <si>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</si>
  <si>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</si>
  <si>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</si>
  <si>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</si>
  <si>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</si>
  <si>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</si>
  <si>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</si>
  <si>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</si>
  <si>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</si>
  <si>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</si>
  <si>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</si>
  <si>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</si>
  <si>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</si>
  <si>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</si>
  <si>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</si>
  <si>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</si>
  <si>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</si>
  <si>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</si>
  <si>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</si>
  <si>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</si>
  <si>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</si>
  <si>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</si>
  <si>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</si>
  <si>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</si>
  <si>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</si>
  <si>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</si>
  <si>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</si>
  <si>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</si>
  <si>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</si>
  <si>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</si>
  <si>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</si>
  <si>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</si>
  <si>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</si>
  <si>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</si>
  <si>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</si>
  <si>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</si>
  <si>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</si>
  <si>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</si>
  <si>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</si>
  <si>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</si>
  <si>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</si>
  <si>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</si>
  <si>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</si>
  <si>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</si>
  <si>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</si>
  <si>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</si>
  <si>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</si>
  <si>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</si>
  <si>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</si>
  <si>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</si>
  <si>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</si>
  <si>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</si>
  <si>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</si>
  <si>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</si>
  <si>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</si>
  <si>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</si>
  <si>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</si>
  <si>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</si>
  <si>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</si>
  <si>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</si>
  <si>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</si>
  <si>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</si>
  <si>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</si>
  <si>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</si>
  <si>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</si>
  <si>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</si>
  <si>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</si>
  <si>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</si>
  <si>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</si>
  <si>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</si>
  <si>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</si>
  <si>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</si>
  <si>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</si>
  <si>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</si>
  <si>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</si>
  <si>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</si>
  <si>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</si>
  <si>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</si>
  <si>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</si>
  <si>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</si>
  <si>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</si>
  <si>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</si>
  <si>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</si>
  <si>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</si>
  <si>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</si>
  <si>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</si>
  <si>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</si>
  <si>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</si>
  <si>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</si>
  <si>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</si>
  <si>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</si>
  <si>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</si>
  <si>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</si>
  <si>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</si>
  <si>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</si>
  <si>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</si>
  <si>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</si>
  <si>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</si>
  <si>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</si>
  <si>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</si>
  <si>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</si>
  <si>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</si>
  <si>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</si>
  <si>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</si>
  <si>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</si>
  <si>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</si>
  <si>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</si>
  <si>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</si>
  <si>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</si>
  <si>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</si>
  <si>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</si>
  <si>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</si>
  <si>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</si>
  <si>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</si>
  <si>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</si>
  <si>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</si>
  <si>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</si>
  <si>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</si>
  <si>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</si>
  <si>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</si>
  <si>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</si>
  <si>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</si>
  <si>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</si>
  <si>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</si>
  <si>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</si>
  <si>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</si>
  <si>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</si>
  <si>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</si>
  <si>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</si>
  <si>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</si>
  <si>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</si>
  <si>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</si>
  <si>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</si>
  <si>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</si>
  <si>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</si>
  <si>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</si>
  <si>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</si>
  <si>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</si>
  <si>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</si>
  <si>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</si>
  <si>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</si>
  <si>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</si>
  <si>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</si>
  <si>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</si>
  <si>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</si>
  <si>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</si>
  <si>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</si>
  <si>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</si>
  <si>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</si>
  <si>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</si>
  <si>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</si>
  <si>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</si>
  <si>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</si>
  <si>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</si>
  <si>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</si>
  <si>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</si>
  <si>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</si>
  <si>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</si>
  <si>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</si>
  <si>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</si>
  <si>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</si>
  <si>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</si>
  <si>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</si>
  <si>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</si>
  <si>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</si>
  <si>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</si>
  <si>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</si>
  <si>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</si>
  <si>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</si>
  <si>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</si>
  <si>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</si>
  <si>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</si>
  <si>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</si>
  <si>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</si>
  <si>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</si>
  <si>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</si>
  <si>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</si>
  <si>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</si>
  <si>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</si>
  <si>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</si>
  <si>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</si>
  <si>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</si>
  <si>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</si>
  <si>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</si>
  <si>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</si>
  <si>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</si>
  <si>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</si>
  <si>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</si>
  <si>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</si>
  <si>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</si>
  <si>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</si>
  <si>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</si>
  <si>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</si>
  <si>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</si>
  <si>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</si>
  <si>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</si>
  <si>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</si>
  <si>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</si>
  <si>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</si>
  <si>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</si>
  <si>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</si>
  <si>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</si>
  <si>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</si>
  <si>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</si>
  <si>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</si>
  <si>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</si>
  <si>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</si>
  <si>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</si>
  <si>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</si>
  <si>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</si>
  <si>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</si>
  <si>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</si>
  <si>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</si>
  <si>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</si>
  <si>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</si>
  <si>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</si>
  <si>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</si>
  <si>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</si>
  <si>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</si>
  <si>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</si>
  <si>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</si>
  <si>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</si>
  <si>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</si>
  <si>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</si>
  <si>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</si>
  <si>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</si>
  <si>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</si>
  <si>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</si>
  <si>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</si>
  <si>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</si>
  <si>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</si>
  <si>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</si>
  <si>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</si>
  <si>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</si>
  <si>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</si>
  <si>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</si>
  <si>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</si>
  <si>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</si>
  <si>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</si>
  <si>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</si>
  <si>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</si>
  <si>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</si>
  <si>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</si>
  <si>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</si>
  <si>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</si>
  <si>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</si>
  <si>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</si>
  <si>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</si>
  <si>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</si>
  <si>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</si>
  <si>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</si>
  <si>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</si>
  <si>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</si>
  <si>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</si>
  <si>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</si>
  <si>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</si>
  <si>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</si>
  <si>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</si>
  <si>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</si>
  <si>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</si>
  <si>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</si>
  <si>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</si>
  <si>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</si>
  <si>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</si>
  <si>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</si>
  <si>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</si>
  <si>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</si>
  <si>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</si>
  <si>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</si>
  <si>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</si>
  <si>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</si>
  <si>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</si>
  <si>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</si>
  <si>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</si>
  <si>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</si>
  <si>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</si>
  <si>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</si>
  <si>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</si>
  <si>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</si>
  <si>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</si>
  <si>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</si>
  <si>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</si>
  <si>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</si>
  <si>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</si>
  <si>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</si>
  <si>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</si>
  <si>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</si>
  <si>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</si>
  <si>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</si>
  <si>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</si>
  <si>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</si>
  <si>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</si>
  <si>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</si>
  <si>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</si>
  <si>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</si>
  <si>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</si>
  <si>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</si>
  <si>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</si>
  <si>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</si>
  <si>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</si>
  <si>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</si>
  <si>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</si>
  <si>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</si>
  <si>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</si>
  <si>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</si>
  <si>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</si>
  <si>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</si>
  <si>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</si>
  <si>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</si>
  <si>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</si>
  <si>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</si>
  <si>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</si>
  <si>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</si>
  <si>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</si>
  <si>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</si>
  <si>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</si>
  <si>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</si>
  <si>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</si>
  <si>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</si>
  <si>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</si>
  <si>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</si>
  <si>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</si>
  <si>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</si>
  <si>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</si>
  <si>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</si>
  <si>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</si>
  <si>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</si>
  <si>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</si>
  <si>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</si>
  <si>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</si>
  <si>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</si>
  <si>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</si>
  <si>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</si>
  <si>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</si>
  <si>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</si>
  <si>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</si>
  <si>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</si>
  <si>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</si>
  <si>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</si>
  <si>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</si>
  <si>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</si>
  <si>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</si>
  <si>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</si>
  <si>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</si>
  <si>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</si>
  <si>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</si>
  <si>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</si>
  <si>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</si>
  <si>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</si>
  <si>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</si>
  <si>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</si>
  <si>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</si>
  <si>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</si>
  <si>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</si>
  <si>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</si>
  <si>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</si>
  <si>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</si>
  <si>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</si>
  <si>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</si>
  <si>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</si>
  <si>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</si>
  <si>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</si>
  <si>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</si>
  <si>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</si>
  <si>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</si>
  <si>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</si>
  <si>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</si>
  <si>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</si>
  <si>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</si>
  <si>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</si>
  <si>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</si>
  <si>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</si>
  <si>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</si>
  <si>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</si>
  <si>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</si>
  <si>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</si>
  <si>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</si>
  <si>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</si>
  <si>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</si>
  <si>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</si>
  <si>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</si>
  <si>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</si>
  <si>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</si>
  <si>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</si>
  <si>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</si>
  <si>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</si>
  <si>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</si>
  <si>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</si>
  <si>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</si>
  <si>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</si>
  <si>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</si>
  <si>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</si>
  <si>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</si>
  <si>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</si>
  <si>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</si>
  <si>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</si>
  <si>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</si>
  <si>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</si>
  <si>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</si>
  <si>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</si>
  <si>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</si>
  <si>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</si>
  <si>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</si>
  <si>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</si>
  <si>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</si>
  <si>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</si>
  <si>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</si>
  <si>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</si>
  <si>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</si>
  <si>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</si>
  <si>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</si>
  <si>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</si>
  <si>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</si>
  <si>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</si>
  <si>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</si>
  <si>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</si>
  <si>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</si>
  <si>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</si>
  <si>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</si>
  <si>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</si>
  <si>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</si>
  <si>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</si>
  <si>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</si>
  <si>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</si>
  <si>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</si>
  <si>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</si>
  <si>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</si>
  <si>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</si>
  <si>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</si>
  <si>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</si>
  <si>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</si>
  <si>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</si>
  <si>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</si>
  <si>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</si>
  <si>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</si>
  <si>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</si>
  <si>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</si>
  <si>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</si>
  <si>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</si>
  <si>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</si>
  <si>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</si>
  <si>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</si>
  <si>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</si>
  <si>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</si>
  <si>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</si>
  <si>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</si>
  <si>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</si>
  <si>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</si>
  <si>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</si>
  <si>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</si>
  <si>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</si>
  <si>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</si>
  <si>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</si>
  <si>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</si>
  <si>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</si>
  <si>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</si>
  <si>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</si>
  <si>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</si>
  <si>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</si>
  <si>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</si>
  <si>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</si>
  <si>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</si>
  <si>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</si>
  <si>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</si>
  <si>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</si>
  <si>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</si>
  <si>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</si>
  <si>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</si>
  <si>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</si>
  <si>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</si>
  <si>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</si>
  <si>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</si>
  <si>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</si>
  <si>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</si>
  <si>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</si>
  <si>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</si>
  <si>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</si>
  <si>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</si>
  <si>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</si>
  <si>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</si>
  <si>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</si>
  <si>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</si>
  <si>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</si>
  <si>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</si>
  <si>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</si>
  <si>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</si>
  <si>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</si>
  <si>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</si>
  <si>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</si>
  <si>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</si>
  <si>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</si>
  <si>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</si>
  <si>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</si>
  <si>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</si>
  <si>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</si>
  <si>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</si>
  <si>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</si>
  <si>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</si>
  <si>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</si>
  <si>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</si>
  <si>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</si>
  <si>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</si>
  <si>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</si>
  <si>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</si>
  <si>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</si>
  <si>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</si>
  <si>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</si>
  <si>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</si>
  <si>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</si>
  <si>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</si>
  <si>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</si>
  <si>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</si>
  <si>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</si>
  <si>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</si>
  <si>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</si>
  <si>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</si>
  <si>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</si>
  <si>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</si>
  <si>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</si>
  <si>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</si>
  <si>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</si>
  <si>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</si>
  <si>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</si>
  <si>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</si>
  <si>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</si>
  <si>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</si>
  <si>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</si>
  <si>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</si>
  <si>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</si>
  <si>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</si>
  <si>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</si>
  <si>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</si>
  <si>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</si>
  <si>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</si>
  <si>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</si>
  <si>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</si>
  <si>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</si>
  <si>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</si>
  <si>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</si>
  <si>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</si>
  <si>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</si>
  <si>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</si>
  <si>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</si>
  <si>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</si>
  <si>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</si>
  <si>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</si>
  <si>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</si>
  <si>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</si>
  <si>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</si>
  <si>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</si>
  <si>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</si>
  <si>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</si>
  <si>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</si>
  <si>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</si>
  <si>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</si>
  <si>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</si>
  <si>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</si>
  <si>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</si>
  <si>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</si>
  <si>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</si>
  <si>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</si>
  <si>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</si>
  <si>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</si>
  <si>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</si>
  <si>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</si>
  <si>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</si>
  <si>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</si>
  <si>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</si>
  <si>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</si>
  <si>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</si>
  <si>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</si>
  <si>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</si>
  <si>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</si>
  <si>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</si>
  <si>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</si>
  <si>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</si>
  <si>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</si>
  <si>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</si>
  <si>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</si>
  <si>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</si>
  <si>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</si>
  <si>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</si>
  <si>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</si>
  <si>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</si>
  <si>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</si>
  <si>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</si>
  <si>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</si>
  <si>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</si>
  <si>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</si>
  <si>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</si>
  <si>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</si>
  <si>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</si>
  <si>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</si>
  <si>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</si>
  <si>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</si>
  <si>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</si>
  <si>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</si>
  <si>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</si>
  <si>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</si>
  <si>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</si>
  <si>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</si>
  <si>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</si>
  <si>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</si>
  <si>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</si>
  <si>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</si>
  <si>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</si>
  <si>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</si>
  <si>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</si>
  <si>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</si>
  <si>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</si>
  <si>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</si>
  <si>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</si>
  <si>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</si>
  <si>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</si>
  <si>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</si>
  <si>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</si>
  <si>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</si>
  <si>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</si>
  <si>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</si>
  <si>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</si>
  <si>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</si>
  <si>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</si>
  <si>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</si>
  <si>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</si>
  <si>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</si>
  <si>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</si>
  <si>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</si>
  <si>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</si>
  <si>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</si>
  <si>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</si>
  <si>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</si>
  <si>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</si>
  <si>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</si>
  <si>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</si>
  <si>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</si>
  <si>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</si>
  <si>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</si>
  <si>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</si>
  <si>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</si>
  <si>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</si>
  <si>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</si>
  <si>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</si>
  <si>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</si>
  <si>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</si>
  <si>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</si>
  <si>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</si>
  <si>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</si>
  <si>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</si>
  <si>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</si>
  <si>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</si>
  <si>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</si>
  <si>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</si>
  <si>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</si>
  <si>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</si>
  <si>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</si>
  <si>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</si>
  <si>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</si>
  <si>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</si>
  <si>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</si>
  <si>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</si>
  <si>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</si>
  <si>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</si>
  <si>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</si>
  <si>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</si>
  <si>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</si>
  <si>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</si>
  <si>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</si>
  <si>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</si>
  <si>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</si>
  <si>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</si>
  <si>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</si>
  <si>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</si>
  <si>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</si>
  <si>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</si>
  <si>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</si>
  <si>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</si>
  <si>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</si>
  <si>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</si>
  <si>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</si>
  <si>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</si>
  <si>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</si>
  <si>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</si>
  <si>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</si>
  <si>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</si>
  <si>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</si>
  <si>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</si>
  <si>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</si>
  <si>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</si>
  <si>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</si>
  <si>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</si>
  <si>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</si>
  <si>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</si>
  <si>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</si>
  <si>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</si>
  <si>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</si>
  <si>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</si>
  <si>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</si>
  <si>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</si>
  <si>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</si>
  <si>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</si>
  <si>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</si>
  <si>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</si>
  <si>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</si>
  <si>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</si>
  <si>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</si>
  <si>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</si>
  <si>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</si>
  <si>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</si>
  <si>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</si>
  <si>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</si>
  <si>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</si>
  <si>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</si>
  <si>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</si>
  <si>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</si>
  <si>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</si>
  <si>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</si>
  <si>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</si>
  <si>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</si>
  <si>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</si>
  <si>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</si>
  <si>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</si>
  <si>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</si>
  <si>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</si>
  <si>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</si>
  <si>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</si>
  <si>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</si>
  <si>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</si>
  <si>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</si>
  <si>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</si>
  <si>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</si>
  <si>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</si>
  <si>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</si>
  <si>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</si>
  <si>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</si>
  <si>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</si>
  <si>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</si>
  <si>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</si>
  <si>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</si>
  <si>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</si>
  <si>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</si>
  <si>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</si>
  <si>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</si>
  <si>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</si>
  <si>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</si>
  <si>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</si>
  <si>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</si>
  <si>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</si>
  <si>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</si>
  <si>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</si>
  <si>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</si>
  <si>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</si>
  <si>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</si>
  <si>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</si>
  <si>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</si>
  <si>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</si>
  <si>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</si>
  <si>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</si>
  <si>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</si>
  <si>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</si>
  <si>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</si>
  <si>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</si>
  <si>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</si>
  <si>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</si>
  <si>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</si>
  <si>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</si>
  <si>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</si>
  <si>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</si>
  <si>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</si>
  <si>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</si>
  <si>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</si>
  <si>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</si>
  <si>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</si>
  <si>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</si>
  <si>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</si>
  <si>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</si>
  <si>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</si>
  <si>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</si>
  <si>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</si>
  <si>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</si>
  <si>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</si>
  <si>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</si>
  <si>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</si>
  <si>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</si>
  <si>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</si>
  <si>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</si>
  <si>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</si>
  <si>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</si>
  <si>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</si>
  <si>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</si>
  <si>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</si>
  <si>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</si>
  <si>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</si>
  <si>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</si>
  <si>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</si>
  <si>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</si>
  <si>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</si>
  <si>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</si>
  <si>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</si>
  <si>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</si>
  <si>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</si>
  <si>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</si>
  <si>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</si>
  <si>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</si>
  <si>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</si>
  <si>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</si>
  <si>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</si>
  <si>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</si>
  <si>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</si>
  <si>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</si>
  <si>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</si>
  <si>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</si>
  <si>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</si>
  <si>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</si>
  <si>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</si>
  <si>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</si>
  <si>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</si>
  <si>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</si>
  <si>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</si>
  <si>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</si>
  <si>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</si>
  <si>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</si>
  <si>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</si>
  <si>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</si>
  <si>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</si>
  <si>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</si>
  <si>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</si>
  <si>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</si>
  <si>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</si>
  <si>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</si>
  <si>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</si>
  <si>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</si>
  <si>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</si>
  <si>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</si>
  <si>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</si>
  <si>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</si>
  <si>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</si>
  <si>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</si>
  <si>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</si>
  <si>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</si>
  <si>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</si>
  <si>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</si>
  <si>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</si>
  <si>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</si>
  <si>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</si>
  <si>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</si>
  <si>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</si>
  <si>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</si>
  <si>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</si>
  <si>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</si>
  <si>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</si>
  <si>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</si>
  <si>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</si>
  <si>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</si>
  <si>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</si>
  <si>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</si>
  <si>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</si>
  <si>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</si>
  <si>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</si>
  <si>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</si>
  <si>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</si>
  <si>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</si>
  <si>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</si>
  <si>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</si>
  <si>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</si>
  <si>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</si>
  <si>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</si>
  <si>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</si>
  <si>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</si>
  <si>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</si>
  <si>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</si>
  <si>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</si>
  <si>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</si>
  <si>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</si>
  <si>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</si>
  <si>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</si>
  <si>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</si>
  <si>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</si>
  <si>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</si>
  <si>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</si>
  <si>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</si>
  <si>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</si>
  <si>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</si>
  <si>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</si>
  <si>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</si>
  <si>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</si>
  <si>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</si>
  <si>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</si>
  <si>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</si>
  <si>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</si>
  <si>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</si>
  <si>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</si>
  <si>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</si>
  <si>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</si>
  <si>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</si>
  <si>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</si>
  <si>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</si>
  <si>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</si>
  <si>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</si>
  <si>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</si>
  <si>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</si>
  <si>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</si>
  <si>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</si>
  <si>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</si>
  <si>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</si>
  <si>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</si>
  <si>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</si>
  <si>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</si>
  <si>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</si>
  <si>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</si>
  <si>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</si>
  <si>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</si>
  <si>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</si>
  <si>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</si>
  <si>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</si>
  <si>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</si>
  <si>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</si>
  <si>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</si>
  <si>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</si>
  <si>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</si>
  <si>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</si>
  <si>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</si>
  <si>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</si>
  <si>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</si>
  <si>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</si>
  <si>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</si>
  <si>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</si>
  <si>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</si>
  <si>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</si>
  <si>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</si>
  <si>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</si>
  <si>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</si>
  <si>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</si>
  <si>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</si>
  <si>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</si>
  <si>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</si>
  <si>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</si>
  <si>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</si>
  <si>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</si>
  <si>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</si>
  <si>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</si>
  <si>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</si>
  <si>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</si>
  <si>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</si>
  <si>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</si>
  <si>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</si>
  <si>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</si>
  <si>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</si>
  <si>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</si>
  <si>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</si>
  <si>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</si>
  <si>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</si>
  <si>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</si>
  <si>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</si>
  <si>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</si>
  <si>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</si>
  <si>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</si>
  <si>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</si>
  <si>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</si>
  <si>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</si>
  <si>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</si>
  <si>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</si>
  <si>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</si>
  <si>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</si>
  <si>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</si>
  <si>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</si>
  <si>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</si>
  <si>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</si>
  <si>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</si>
  <si>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</si>
  <si>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</si>
  <si>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</si>
  <si>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</si>
  <si>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</si>
  <si>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</si>
  <si>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</si>
  <si>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</si>
  <si>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</si>
  <si>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</si>
  <si>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</si>
  <si>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</si>
  <si>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</si>
  <si>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</si>
  <si>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</si>
  <si>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</si>
  <si>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</si>
  <si>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</si>
  <si>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</si>
  <si>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</si>
  <si>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</si>
  <si>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</si>
  <si>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</si>
  <si>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</si>
  <si>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</si>
  <si>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</si>
  <si>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</si>
  <si>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</si>
  <si>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</si>
  <si>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</si>
  <si>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</si>
  <si>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</si>
  <si>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</si>
  <si>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</si>
  <si>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</si>
  <si>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</si>
  <si>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</si>
  <si>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</si>
  <si>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</si>
  <si>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</si>
  <si>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</si>
  <si>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</si>
  <si>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</si>
  <si>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</si>
  <si>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</si>
  <si>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</si>
  <si>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</si>
  <si>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</si>
  <si>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</si>
  <si>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</si>
  <si>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</si>
  <si>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</si>
  <si>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</si>
  <si>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</si>
  <si>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</si>
  <si>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</si>
  <si>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</si>
  <si>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</si>
  <si>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</si>
  <si>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</si>
  <si>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</si>
  <si>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</si>
  <si>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</si>
  <si>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</si>
  <si>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</si>
  <si>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</si>
  <si>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</si>
  <si>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</si>
  <si>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</si>
  <si>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</si>
  <si>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</si>
  <si>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</si>
  <si>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</si>
  <si>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</si>
  <si>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</si>
  <si>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</si>
  <si>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</si>
  <si>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</si>
  <si>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</si>
  <si>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</si>
  <si>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</si>
  <si>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</si>
  <si>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</si>
  <si>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</si>
  <si>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</si>
  <si>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</si>
  <si>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</si>
  <si>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</si>
  <si>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</si>
  <si>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</si>
  <si>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</si>
  <si>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</si>
  <si>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</si>
  <si>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</si>
  <si>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</si>
  <si>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</si>
  <si>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</si>
  <si>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</si>
  <si>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</si>
  <si>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</si>
  <si>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</si>
  <si>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</si>
  <si>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</si>
  <si>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</si>
  <si>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</si>
  <si>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</si>
  <si>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</si>
  <si>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</si>
  <si>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</si>
  <si>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</si>
  <si>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</si>
  <si>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</si>
  <si>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</si>
  <si>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</si>
  <si>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</si>
  <si>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</si>
  <si>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</si>
  <si>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</si>
  <si>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</si>
  <si>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</si>
  <si>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</si>
  <si>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</si>
  <si>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</si>
  <si>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</si>
  <si>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</si>
  <si>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</si>
  <si>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</si>
  <si>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</si>
  <si>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</si>
  <si>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</si>
  <si>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</si>
  <si>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</si>
  <si>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</si>
  <si>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</si>
  <si>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</si>
  <si>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</si>
  <si>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</si>
  <si>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</si>
  <si>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</si>
  <si>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</si>
  <si>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</si>
  <si>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</si>
  <si>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</si>
  <si>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</si>
  <si>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</si>
  <si>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</si>
  <si>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</si>
  <si>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</si>
  <si>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</si>
  <si>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</si>
  <si>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</si>
  <si>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</si>
  <si>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</si>
  <si>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</si>
  <si>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</si>
  <si>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</si>
  <si>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</si>
  <si>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</si>
  <si>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</si>
  <si>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</si>
  <si>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</si>
  <si>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</si>
  <si>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</si>
  <si>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</si>
  <si>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</si>
  <si>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</si>
  <si>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</si>
  <si>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</si>
  <si>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</si>
  <si>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</si>
  <si>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</si>
  <si>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</si>
  <si>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</si>
  <si>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</si>
  <si>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</si>
  <si>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</si>
  <si>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</si>
  <si>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</si>
  <si>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</si>
  <si>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</si>
  <si>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</si>
  <si>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</si>
  <si>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</si>
  <si>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</si>
  <si>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</si>
  <si>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</si>
  <si>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</si>
  <si>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</si>
  <si>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</si>
  <si>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</si>
  <si>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</si>
  <si>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</si>
  <si>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</si>
  <si>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</si>
  <si>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</si>
  <si>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</si>
  <si>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</si>
  <si>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</si>
  <si>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</si>
  <si>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</si>
  <si>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</si>
  <si>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</si>
  <si>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</si>
  <si>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</si>
  <si>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</si>
  <si>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</si>
  <si>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</si>
  <si>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</si>
  <si>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</si>
  <si>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</si>
  <si>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</si>
  <si>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</si>
  <si>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</si>
  <si>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</si>
  <si>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</si>
  <si>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</si>
  <si>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</si>
  <si>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</si>
  <si>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</si>
  <si>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</si>
  <si>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</si>
  <si>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</si>
  <si>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</si>
  <si>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</si>
  <si>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</si>
  <si>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</si>
  <si>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</si>
  <si>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</si>
  <si>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</si>
  <si>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</si>
  <si>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</si>
  <si>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</si>
  <si>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</si>
  <si>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</si>
  <si>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</si>
  <si>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</si>
  <si>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</si>
  <si>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</si>
  <si>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</si>
  <si>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</si>
  <si>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</si>
  <si>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</si>
  <si>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</si>
  <si>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</si>
  <si>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</si>
  <si>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</si>
  <si>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</si>
  <si>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</si>
  <si>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</si>
  <si>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</si>
  <si>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</si>
  <si>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</si>
  <si>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</si>
  <si>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</si>
  <si>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</si>
  <si>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</si>
  <si>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</si>
  <si>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</si>
  <si>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</si>
  <si>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</si>
  <si>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</si>
  <si>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</si>
  <si>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</si>
  <si>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</si>
  <si>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</si>
  <si>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</si>
  <si>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</si>
  <si>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</si>
  <si>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</si>
  <si>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</si>
  <si>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</si>
  <si>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</si>
  <si>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</si>
  <si>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</si>
  <si>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</si>
  <si>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</si>
  <si>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</si>
  <si>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</si>
  <si>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</si>
  <si>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</si>
  <si>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</si>
  <si>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</si>
  <si>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</si>
  <si>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</si>
  <si>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</si>
  <si>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</si>
  <si>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</si>
  <si>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</si>
  <si>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</si>
  <si>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</si>
  <si>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</si>
  <si>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</si>
  <si>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</si>
  <si>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</si>
  <si>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</si>
  <si>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</si>
  <si>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</si>
  <si>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</si>
  <si>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</si>
  <si>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</si>
  <si>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</si>
  <si>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</si>
  <si>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</si>
  <si>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</si>
  <si>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</si>
  <si>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</si>
  <si>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</si>
  <si>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</si>
  <si>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</si>
  <si>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</si>
  <si>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</si>
  <si>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</si>
  <si>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</si>
  <si>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</si>
  <si>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</si>
  <si>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</si>
  <si>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</si>
  <si>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</si>
  <si>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</si>
  <si>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</si>
  <si>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</si>
  <si>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</si>
  <si>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</si>
  <si>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</si>
  <si>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</si>
  <si>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</si>
  <si>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</si>
  <si>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</si>
  <si>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</si>
  <si>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</si>
  <si>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</si>
  <si>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</si>
  <si>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</si>
  <si>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</si>
  <si>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</si>
  <si>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</si>
  <si>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</si>
  <si>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</si>
  <si>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</si>
  <si>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</si>
  <si>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</si>
  <si>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</si>
  <si>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</si>
  <si>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</si>
  <si>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</si>
  <si>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</si>
  <si>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</si>
  <si>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</si>
  <si>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</si>
  <si>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</si>
  <si>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</si>
  <si>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</si>
  <si>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</si>
  <si>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</si>
  <si>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</si>
  <si>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</si>
  <si>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</si>
  <si>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</si>
  <si>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</si>
  <si>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</si>
  <si>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</si>
  <si>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</si>
  <si>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</si>
  <si>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</si>
  <si>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</si>
  <si>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</si>
  <si>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</si>
  <si>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</si>
  <si>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</si>
  <si>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</si>
  <si>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</si>
  <si>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</si>
  <si>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</si>
  <si>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</si>
  <si>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</si>
  <si>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</si>
  <si>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</si>
  <si>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</si>
  <si>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</si>
  <si>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</si>
  <si>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</si>
  <si>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</si>
  <si>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</si>
  <si>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</si>
  <si>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</si>
  <si>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</si>
  <si>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</si>
  <si>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</si>
  <si>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</si>
  <si>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</si>
  <si>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</si>
  <si>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</si>
  <si>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</si>
  <si>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</si>
  <si>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</si>
  <si>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</si>
  <si>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</si>
  <si>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</si>
  <si>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</si>
  <si>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</si>
  <si>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</si>
  <si>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</si>
  <si>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</si>
  <si>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</si>
  <si>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</si>
  <si>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</si>
  <si>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</si>
  <si>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</si>
  <si>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</si>
  <si>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</si>
  <si>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</si>
  <si>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</si>
  <si>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</si>
  <si>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</si>
  <si>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</si>
  <si>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</si>
  <si>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</si>
  <si>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</si>
  <si>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</si>
  <si>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</si>
  <si>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</si>
  <si>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</si>
  <si>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</si>
  <si>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</si>
  <si>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</si>
  <si>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</si>
  <si>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</si>
  <si>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</si>
  <si>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</si>
  <si>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</si>
  <si>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</si>
  <si>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</si>
  <si>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</si>
  <si>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</si>
  <si>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</si>
  <si>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</si>
  <si>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</si>
  <si>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</si>
  <si>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</si>
  <si>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</si>
  <si>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</si>
  <si>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</si>
  <si>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</si>
  <si>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</si>
  <si>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</si>
  <si>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</si>
  <si>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</si>
  <si>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</si>
  <si>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</si>
  <si>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</si>
  <si>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</si>
  <si>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</si>
  <si>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</si>
  <si>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</si>
  <si>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</si>
  <si>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</si>
  <si>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</si>
  <si>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</si>
  <si>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</si>
  <si>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</si>
  <si>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</si>
  <si>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</si>
  <si>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</si>
  <si>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</si>
  <si>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</si>
  <si>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</si>
  <si>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</si>
  <si>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</si>
  <si>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</si>
  <si>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</si>
  <si>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</si>
  <si>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</si>
  <si>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</si>
  <si>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</si>
  <si>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</si>
  <si>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</si>
  <si>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</si>
  <si>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</si>
  <si>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</si>
  <si>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</si>
  <si>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</si>
  <si>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</si>
  <si>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</si>
  <si>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</si>
  <si>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</si>
  <si>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</si>
  <si>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</si>
  <si>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</si>
  <si>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</si>
  <si>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</si>
  <si>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</si>
  <si>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</si>
  <si>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</si>
  <si>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</si>
  <si>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</si>
  <si>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</si>
  <si>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</si>
  <si>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</si>
  <si>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</si>
  <si>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</si>
  <si>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</si>
  <si>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</si>
  <si>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</si>
  <si>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</si>
  <si>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</si>
  <si>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</si>
  <si>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</si>
  <si>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</si>
  <si>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</si>
  <si>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</si>
  <si>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</si>
  <si>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</si>
  <si>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</si>
  <si>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</si>
  <si>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</si>
  <si>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</si>
  <si>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</si>
  <si>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</si>
  <si>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</si>
  <si>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</si>
  <si>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</si>
  <si>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</si>
  <si>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</si>
  <si>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</si>
  <si>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</si>
  <si>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</si>
  <si>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</si>
  <si>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</si>
  <si>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</si>
  <si>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</si>
  <si>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</si>
  <si>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</si>
  <si>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</si>
  <si>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</si>
  <si>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</si>
  <si>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</si>
  <si>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</si>
  <si>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</si>
  <si>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</si>
  <si>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</si>
  <si>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</si>
  <si>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</si>
  <si>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</si>
  <si>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</si>
  <si>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</si>
  <si>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</si>
  <si>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</si>
  <si>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</si>
  <si>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</si>
  <si>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</si>
  <si>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</si>
  <si>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</si>
  <si>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</si>
  <si>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</si>
  <si>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</si>
  <si>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</si>
  <si>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</si>
  <si>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Green Manor Housing Partners, LP</t>
  </si>
  <si>
    <t>Green Manor</t>
  </si>
  <si>
    <t>August</t>
  </si>
  <si>
    <t>David Beacham</t>
  </si>
  <si>
    <t>Owner of LLC</t>
  </si>
  <si>
    <t>Re-Application</t>
  </si>
  <si>
    <t>4041 Ibis Street</t>
  </si>
  <si>
    <t>444-404-12-00</t>
  </si>
  <si>
    <t>40%/60%</t>
  </si>
  <si>
    <t>3111 Camino Del Rio N, Suite 607</t>
  </si>
  <si>
    <t>CA</t>
  </si>
  <si>
    <t>760-579-2093</t>
  </si>
  <si>
    <t>Dave@rahdgroup.com</t>
  </si>
  <si>
    <t>Hearthstone Green Manor, LLC (By: Heathstone Housing Foundation, its sole member)</t>
  </si>
  <si>
    <t>1401 Dove Street, Suite 620</t>
  </si>
  <si>
    <t>Administrative GP</t>
  </si>
  <si>
    <t>Newport Beach</t>
  </si>
  <si>
    <t>Socorro Vasquez</t>
  </si>
  <si>
    <t>949-678-0790</t>
  </si>
  <si>
    <t>coco@hearthstonehousing.org</t>
  </si>
  <si>
    <t>Green Manor MGP, LLC</t>
  </si>
  <si>
    <t>Managing GP</t>
  </si>
  <si>
    <t>4070 Jackdaw Street</t>
  </si>
  <si>
    <t>Lara Gates</t>
  </si>
  <si>
    <t>Larangates@me.com</t>
  </si>
  <si>
    <t>RAHD Group, LLC</t>
  </si>
  <si>
    <t>3111 Camino Del Rio North, Suite 607</t>
  </si>
  <si>
    <t>Developer</t>
  </si>
  <si>
    <t>San Diego, CA 92108</t>
  </si>
  <si>
    <t>Carrier Johnson</t>
  </si>
  <si>
    <t>185 W F St. Ste 500</t>
  </si>
  <si>
    <t>San Diego, CA, 92101</t>
  </si>
  <si>
    <t>Duane Hagewood</t>
  </si>
  <si>
    <t>619-687-2495</t>
  </si>
  <si>
    <t>dlh@carrierjohnson.com</t>
  </si>
  <si>
    <t>Rodriguez Wright LLP</t>
  </si>
  <si>
    <t>548 Market Street</t>
  </si>
  <si>
    <t>San Francisco, CA 94104</t>
  </si>
  <si>
    <t>Henry Har</t>
  </si>
  <si>
    <t>CREDE</t>
  </si>
  <si>
    <t>18301 Von Karman Ave, Ste 150</t>
  </si>
  <si>
    <t>Irvine CA, 92612</t>
  </si>
  <si>
    <t>Ryan Tenpas</t>
  </si>
  <si>
    <t>Propp Christensen Caniglia</t>
  </si>
  <si>
    <t>9261 Sierra College Blvd</t>
  </si>
  <si>
    <t>Roseville CA 95661</t>
  </si>
  <si>
    <t>Justin Gierth</t>
  </si>
  <si>
    <t>Partner Energy</t>
  </si>
  <si>
    <t>680 Knox St, Suite 150</t>
  </si>
  <si>
    <t>Los Angeles, CA 90502</t>
  </si>
  <si>
    <t>Kelsey Shaw</t>
  </si>
  <si>
    <t>Candeur Group</t>
  </si>
  <si>
    <t>50 California Street, Suire 3200</t>
  </si>
  <si>
    <t>San Francisco, CA 94111</t>
  </si>
  <si>
    <t>Catherine Talbot</t>
  </si>
  <si>
    <t>Kinetic Valuation Group</t>
  </si>
  <si>
    <t>11060 Oak Street, Suite 6</t>
  </si>
  <si>
    <t>Omaha, NE 68144</t>
  </si>
  <si>
    <t>Jay Wortmann</t>
  </si>
  <si>
    <t>Partner Engineering and Science</t>
  </si>
  <si>
    <t>11839 Sorrento Valley Road, Suite 906</t>
  </si>
  <si>
    <t>San Diego, CA 92121</t>
  </si>
  <si>
    <t>Mark Lambson</t>
  </si>
  <si>
    <t>Royal Property Management Group</t>
  </si>
  <si>
    <t>16456 Bernardo Center Dr. #200</t>
  </si>
  <si>
    <t>San Diego, CA 92127</t>
  </si>
  <si>
    <t>Wende King</t>
  </si>
  <si>
    <t>Wende@royalpropertymgmt.com</t>
  </si>
  <si>
    <t>402-202-0771</t>
  </si>
  <si>
    <t>Jay@kvgteam.com</t>
  </si>
  <si>
    <t>402-202-0711</t>
  </si>
  <si>
    <t>619-925-9672</t>
  </si>
  <si>
    <t>mlambson@partnerresi.com</t>
  </si>
  <si>
    <t>Appraisal</t>
  </si>
  <si>
    <t>4041 Ibis ST.</t>
  </si>
  <si>
    <t>San Diego CA 92103</t>
  </si>
  <si>
    <t>Green Manor, a California non-profit corporation</t>
  </si>
  <si>
    <t>Secured by Fee Interest</t>
  </si>
  <si>
    <t>Other (Specify below)</t>
  </si>
  <si>
    <t>single building tower</t>
  </si>
  <si>
    <t>Antenna lease for internet providers on the top of the building</t>
  </si>
  <si>
    <t>multi-family</t>
  </si>
  <si>
    <t>cc-3-6</t>
  </si>
  <si>
    <t>Berkadia - MTEB</t>
  </si>
  <si>
    <t>Berkadia - Tax-exempt</t>
  </si>
  <si>
    <t>Berkadia - Taxable</t>
  </si>
  <si>
    <t>Green Manor Fund, LLC</t>
  </si>
  <si>
    <t>Fixed</t>
  </si>
  <si>
    <t>11111 Santa Monica Boulevard</t>
  </si>
  <si>
    <t>Jay Abeywardena</t>
  </si>
  <si>
    <t>310-209-3244</t>
  </si>
  <si>
    <t>50 California Street, Suite 3200</t>
  </si>
  <si>
    <t>4142 Adams Ave., Ste 103-250</t>
  </si>
  <si>
    <t>415-710-6870</t>
  </si>
  <si>
    <t>Fanne Mae Credit Enhancement</t>
  </si>
  <si>
    <t>Wireless Antenna Service Income</t>
  </si>
  <si>
    <t>HUD Master metered and SDHC utility allowance schedule</t>
  </si>
  <si>
    <t>Office and Admine misc.</t>
  </si>
  <si>
    <t>Health, benefits and insurance</t>
  </si>
  <si>
    <t>other service + turnover expenses</t>
  </si>
  <si>
    <t>Attachment 16</t>
  </si>
  <si>
    <t>HUD</t>
  </si>
  <si>
    <t>Project-based vouchers (PBVs)</t>
  </si>
  <si>
    <t>Environmental Mitigation</t>
  </si>
  <si>
    <t>Performance Bond</t>
  </si>
  <si>
    <t>Lender Inspection</t>
  </si>
  <si>
    <t>Counsel: borrower</t>
  </si>
  <si>
    <t>Recycled Bonds</t>
  </si>
  <si>
    <t>1 bedroom</t>
  </si>
  <si>
    <t>Berkadia - Tax-Exempt</t>
  </si>
  <si>
    <t>Berkadis - Taxable</t>
  </si>
  <si>
    <t>Colin Miller</t>
  </si>
  <si>
    <t>San Diego Housing Commission</t>
  </si>
  <si>
    <t>Vice President Multihousing Finance</t>
  </si>
  <si>
    <t>1122 Broadway, Suite 300</t>
  </si>
  <si>
    <t>619-578-7569</t>
  </si>
  <si>
    <t>Colinm@sdhc.org</t>
  </si>
  <si>
    <t>628-200-0790</t>
  </si>
  <si>
    <t>hhar@rodriguezwhite.com</t>
  </si>
  <si>
    <t>649-329-9588</t>
  </si>
  <si>
    <t>ryan.tenpas@credegroup.com</t>
  </si>
  <si>
    <t>310-356-2199</t>
  </si>
  <si>
    <t>kshaw@ptrenergy.com</t>
  </si>
  <si>
    <t>916-751-2900</t>
  </si>
  <si>
    <t>Jgierth@pccllp.com</t>
  </si>
  <si>
    <t>2111 Palomar Airport Rd, Suite 320</t>
  </si>
  <si>
    <t>Carlsbad, CA 92011</t>
  </si>
  <si>
    <t>Anthony Stubbs</t>
  </si>
  <si>
    <t>760-930-1333</t>
  </si>
  <si>
    <t>astubbs@cmfa-ca.com</t>
  </si>
  <si>
    <t>ctalbot@candeurgroup.com</t>
  </si>
  <si>
    <t>CMFA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</si>
</sst>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6" fontId="16" fillId="5" borderId="4" xfId="0" applyNumberFormat="1" applyFont="1" applyFill="1" applyBorder="1" applyAlignment="1" applyProtection="1">
      <alignment horizontal="left"/>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rahdgroup.sharepoint.com/sites/AssetManagement/Shared%20Documents/Properties%20-%20Owned%20Assets/Green%20Manor/Closing%20#2/CDLAC &amp; CTCAC - Application/Round 3 2025/Green Manor - Attachment 40 - '25 pt.3 draft.xlsx" TargetMode="External"/><Relationship Id="rId1" Type="http://schemas.openxmlformats.org/officeDocument/2006/relationships/externalLinkPath" Target="Closing%20#2/CDLAC &amp; CTCAC - Application/Round 3 2025/Green Manor - Attachment 40 - '25 pt.3 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Instructions-Electronic Submit"/>
      <sheetName val="Application Checklist"/>
      <sheetName val="CalHFA Addendum"/>
      <sheetName val="Application"/>
      <sheetName val="Subsidy Contract Calculation"/>
      <sheetName val="Sources and Uses Budget"/>
      <sheetName val="Sources and Basis Breakdown"/>
      <sheetName val="Basis &amp; Credits"/>
      <sheetName val="Points System"/>
      <sheetName val="Tie Breaker"/>
      <sheetName val="15 Year Pro Forma"/>
      <sheetName val="Post-award Instructions"/>
      <sheetName val="Post-award Project Cost Changes"/>
    </sheetNames>
    <sheetDataSet>
      <sheetData sheetId="0"/>
      <sheetData sheetId="1"/>
      <sheetData sheetId="2"/>
      <sheetData sheetId="3"/>
      <sheetData sheetId="4"/>
      <sheetData sheetId="5"/>
      <sheetData sheetId="6"/>
      <sheetData sheetId="7"/>
      <sheetData sheetId="8">
        <row r="57">
          <cell r="AB57">
            <v>24091408</v>
          </cell>
        </row>
      </sheetData>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549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2601</v>
      </c>
      <c r="E18" s="441"/>
      <c r="G18" s="441"/>
      <c r="H18" s="441"/>
      <c r="I18" s="441"/>
      <c r="J18" s="1264" t="s">
        <v>2600</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2035</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2036</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2516</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2140</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2043</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2044</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652</v>
      </c>
      <c r="F40" s="1262" t="s">
        <v>1163</v>
      </c>
    </row>
    <row r="41" spans="1:38" s="1262" customFormat="1" ht="13.15" customHeight="1">
      <c r="A41" s="4"/>
      <c r="B41"/>
      <c r="C41" s="2"/>
      <c r="D41" s="4"/>
      <c r="E41" s="4"/>
    </row>
    <row r="42" spans="1:38">
      <c r="A42" s="4"/>
      <c r="C42" s="2"/>
      <c r="D42" s="4"/>
      <c r="E42" s="4"/>
      <c r="F42" s="35" t="s">
        <v>686</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349</v>
      </c>
      <c r="F48" s="1262" t="s">
        <v>2038</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2039</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508</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508</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865</v>
      </c>
      <c r="G87" s="4"/>
      <c r="L87" s="4"/>
      <c r="M87" s="4"/>
      <c r="P87" s="4"/>
      <c r="Q87" s="4"/>
      <c r="R87" s="4"/>
      <c r="S87" s="4"/>
      <c r="T87" s="4"/>
      <c r="U87" s="4"/>
      <c r="V87" s="4"/>
      <c r="W87" s="4"/>
      <c r="X87" s="4"/>
      <c r="Y87" s="4"/>
      <c r="Z87" s="4"/>
      <c r="AA87" s="4"/>
      <c r="AB87" s="4"/>
    </row>
    <row r="88" spans="1:37">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922</v>
      </c>
      <c r="F125" s="4"/>
    </row>
    <row r="126" spans="2:10"/>
    <row r="127" spans="2:10">
      <c r="D127" s="2" t="s">
        <v>341</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465</v>
      </c>
    </row>
    <row r="141" spans="4:37"/>
    <row r="142" spans="4:37">
      <c r="D142" s="2" t="s">
        <v>428</v>
      </c>
      <c r="E142" s="2" t="s">
        <v>2041</v>
      </c>
    </row>
    <row r="143" spans="4:37">
      <c r="E143" s="204" t="s">
        <v>2042</v>
      </c>
      <c r="F143" s="204"/>
    </row>
    <row r="144" spans="4:37"/>
    <row r="145" spans="3:7">
      <c r="C145" s="2" t="s">
        <v>6</v>
      </c>
      <c r="G145" s="2" t="s">
        <v>379</v>
      </c>
    </row>
    <row r="146" spans="3:7">
      <c r="D146" s="2" t="s">
        <v>207</v>
      </c>
      <c r="E146" s="2" t="s">
        <v>135</v>
      </c>
    </row>
    <row r="147" spans="3:7">
      <c r="E147" t="s">
        <v>796</v>
      </c>
    </row>
    <row r="148" spans="3:7"/>
    <row r="149" spans="3:7">
      <c r="D149" s="2" t="s">
        <v>341</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303</v>
      </c>
      <c r="E161" s="2" t="s">
        <v>380</v>
      </c>
    </row>
    <row r="162" spans="3:20">
      <c r="E162" s="4" t="s">
        <v>928</v>
      </c>
      <c r="F162" s="4"/>
    </row>
    <row r="163" spans="3:20"/>
    <row r="164" spans="3:20">
      <c r="D164" s="2" t="s">
        <v>428</v>
      </c>
      <c r="E164" s="2" t="s">
        <v>172</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297</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207</v>
      </c>
      <c r="E176" s="2" t="s">
        <v>298</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348</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348</v>
      </c>
      <c r="G242" s="136" t="s">
        <v>942</v>
      </c>
      <c r="I242" s="4"/>
      <c r="M242" s="4"/>
      <c r="N242" s="4"/>
      <c r="O242" s="4"/>
      <c r="P242" s="4"/>
      <c r="Q242" s="4"/>
      <c r="R242" s="4"/>
      <c r="S242" s="4"/>
    </row>
    <row r="243" spans="2:21">
      <c r="B243" s="4"/>
      <c r="C243" s="4"/>
      <c r="F243" s="4" t="s">
        <v>349</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348</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287</v>
      </c>
      <c r="G268" s="4"/>
    </row>
    <row r="269" spans="2:21">
      <c r="B269" s="2"/>
      <c r="C269" s="2"/>
      <c r="E269" s="4" t="s">
        <v>255</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652</v>
      </c>
      <c r="G291" s="4" t="s">
        <v>260</v>
      </c>
      <c r="K291" s="4"/>
      <c r="L291" s="4"/>
      <c r="M291" s="4"/>
      <c r="N291" s="4"/>
      <c r="O291" s="4"/>
      <c r="P291" s="4"/>
      <c r="Q291" s="4"/>
      <c r="R291" s="4"/>
      <c r="S291" s="4"/>
      <c r="T291" s="4"/>
      <c r="U291" s="4"/>
      <c r="V291" s="4"/>
      <c r="W291" s="4"/>
    </row>
    <row r="292" spans="2:23">
      <c r="B292" s="2"/>
      <c r="D292" s="4"/>
      <c r="E292" s="4"/>
      <c r="F292" s="4" t="s">
        <v>348</v>
      </c>
      <c r="G292" s="4" t="s">
        <v>939</v>
      </c>
      <c r="H292" s="4"/>
      <c r="K292" s="4"/>
      <c r="L292" s="4"/>
      <c r="M292" s="4"/>
      <c r="N292" s="4"/>
      <c r="O292" s="4"/>
      <c r="P292" s="4"/>
      <c r="Q292" s="4"/>
      <c r="R292" s="4"/>
      <c r="S292" s="4"/>
      <c r="T292" s="4"/>
      <c r="U292" s="4"/>
      <c r="V292" s="4"/>
      <c r="W292" s="4"/>
    </row>
    <row r="293" spans="2:23">
      <c r="B293" s="2"/>
      <c r="D293" s="4"/>
      <c r="E293" s="4"/>
      <c r="F293" s="4" t="s">
        <v>349</v>
      </c>
      <c r="G293" s="4" t="s">
        <v>560</v>
      </c>
      <c r="K293" s="4"/>
      <c r="L293" s="4"/>
      <c r="M293" s="4"/>
      <c r="N293" s="4"/>
      <c r="O293" s="4"/>
      <c r="P293" s="4"/>
      <c r="Q293" s="4"/>
      <c r="R293" s="4"/>
      <c r="S293" s="4"/>
      <c r="T293" s="4"/>
      <c r="U293" s="4"/>
      <c r="V293" s="4"/>
      <c r="W293" s="4"/>
    </row>
    <row r="294" spans="2:23">
      <c r="B294" s="2"/>
      <c r="D294" s="4"/>
      <c r="E294" s="4"/>
      <c r="F294" s="4" t="s">
        <v>443</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289</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341</v>
      </c>
      <c r="E314" s="2" t="s">
        <v>750</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250</v>
      </c>
      <c r="D323" s="2" t="s">
        <v>207</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1257</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1867</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2045</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0" t="s">
        <v>1872</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1868</v>
      </c>
      <c r="B71" s="1277"/>
      <c r="C71" s="1277"/>
      <c r="D71" s="1277"/>
      <c r="E71" s="1277"/>
      <c r="F71" s="1277"/>
      <c r="G71" s="1277"/>
      <c r="H71" s="1277"/>
      <c r="I71" s="1277"/>
    </row>
    <row r="72" spans="1:9" ht="12.75">
      <c r="A72" s="1269" t="s">
        <v>2043</v>
      </c>
      <c r="B72" s="1269"/>
      <c r="C72" s="1269"/>
      <c r="D72" s="1269"/>
      <c r="E72" s="1269"/>
    </row>
    <row r="73" spans="1:9" ht="12.75">
      <c r="A73" s="1269" t="s">
        <v>2044</v>
      </c>
      <c r="B73" s="1269"/>
      <c r="C73" s="1269"/>
      <c r="D73" s="1269"/>
      <c r="E73" s="1269"/>
    </row>
    <row r="74" spans="1:9" ht="12.75">
      <c r="A74" s="1269" t="s">
        <v>1869</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2456</v>
      </c>
      <c r="B2" s="1331"/>
      <c r="C2" s="1331"/>
      <c r="D2" s="1331"/>
      <c r="E2" s="1331"/>
      <c r="F2" s="1331"/>
      <c r="G2" s="1331"/>
      <c r="H2" s="1331"/>
      <c r="I2" s="1331"/>
    </row>
    <row r="3" spans="1:13">
      <c r="A3" s="1319" t="s">
        <v>2217</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2216</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ht="14.25">
      <c r="A15" s="484"/>
      <c r="B15" s="485" t="s">
        <v>307</v>
      </c>
      <c r="C15" s="483"/>
      <c r="D15" s="1301" t="s">
        <v>1920</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1918</v>
      </c>
      <c r="F18" s="445"/>
      <c r="I18" s="490"/>
    </row>
    <row r="19" spans="1:9">
      <c r="A19" s="483"/>
      <c r="B19" s="483"/>
      <c r="C19" s="483"/>
      <c r="I19" s="490"/>
    </row>
    <row r="20" spans="1:9" ht="14.25">
      <c r="A20" s="484"/>
      <c r="B20" s="485" t="s">
        <v>307</v>
      </c>
      <c r="D20" s="1301" t="s">
        <v>1921</v>
      </c>
      <c r="E20" s="1301"/>
      <c r="F20" s="1301"/>
      <c r="I20" s="490"/>
    </row>
    <row r="21" spans="1:9" ht="14.25">
      <c r="A21" s="484"/>
      <c r="D21" s="1301"/>
      <c r="E21" s="1301"/>
      <c r="F21" s="1301"/>
      <c r="I21" s="490"/>
    </row>
    <row r="22" spans="1:9" ht="14.25">
      <c r="A22" s="484"/>
      <c r="D22" s="392"/>
      <c r="E22" s="96" t="s">
        <v>1917</v>
      </c>
      <c r="F22" s="392"/>
      <c r="I22" s="490"/>
    </row>
    <row r="23" spans="1:9" ht="14.25">
      <c r="A23" s="484"/>
      <c r="B23" s="484"/>
      <c r="D23" s="446"/>
      <c r="I23" s="490"/>
    </row>
    <row r="24" spans="1:9" ht="14.25">
      <c r="A24" s="484"/>
      <c r="B24" s="485" t="s">
        <v>307</v>
      </c>
      <c r="D24" s="1301" t="s">
        <v>1090</v>
      </c>
      <c r="E24" s="1301"/>
      <c r="F24" s="1301"/>
      <c r="I24" s="490"/>
    </row>
    <row r="25" spans="1:9" ht="14.25">
      <c r="A25" s="484"/>
      <c r="B25" s="484"/>
      <c r="D25" s="1301"/>
      <c r="E25" s="1301"/>
      <c r="F25" s="1301"/>
      <c r="I25" s="490"/>
    </row>
    <row r="26" spans="1:9">
      <c r="I26" s="490"/>
    </row>
    <row r="27" spans="1:9" ht="14.25">
      <c r="A27" s="484"/>
      <c r="B27" s="485" t="s">
        <v>307</v>
      </c>
      <c r="D27" s="1301" t="s">
        <v>2046</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307</v>
      </c>
      <c r="D33" s="1301" t="s">
        <v>2047</v>
      </c>
      <c r="E33" s="1301"/>
      <c r="F33" s="1301"/>
      <c r="I33" s="490"/>
    </row>
    <row r="34" spans="1:9">
      <c r="D34" s="1301"/>
      <c r="E34" s="1301"/>
      <c r="F34" s="1301"/>
      <c r="I34" s="490"/>
    </row>
    <row r="35" spans="1:9" ht="14.25">
      <c r="A35" s="484"/>
      <c r="B35" s="484"/>
      <c r="D35" s="447"/>
      <c r="I35" s="490"/>
    </row>
    <row r="36" spans="1:9" ht="14.45" customHeight="1">
      <c r="A36" s="484"/>
      <c r="B36" s="485" t="s">
        <v>307</v>
      </c>
      <c r="D36" s="1301" t="s">
        <v>1213</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307</v>
      </c>
      <c r="D41" s="1301" t="s">
        <v>1091</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307</v>
      </c>
      <c r="D47" s="1301" t="s">
        <v>1092</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307</v>
      </c>
      <c r="D52" s="1301" t="s">
        <v>1093</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307</v>
      </c>
      <c r="D56" s="1324" t="s">
        <v>1094</v>
      </c>
      <c r="E56" s="1324"/>
      <c r="F56" s="1324"/>
      <c r="I56" s="490"/>
    </row>
    <row r="57" spans="1:9" ht="14.25">
      <c r="A57" s="484"/>
      <c r="B57" s="484"/>
      <c r="D57" s="1324"/>
      <c r="E57" s="1324"/>
      <c r="F57" s="1324"/>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307</v>
      </c>
      <c r="D61" s="1301" t="s">
        <v>1095</v>
      </c>
      <c r="E61" s="1301"/>
      <c r="F61" s="1301"/>
      <c r="I61" s="490"/>
    </row>
    <row r="62" spans="1:9">
      <c r="D62" s="1301"/>
      <c r="E62" s="1301"/>
      <c r="F62" s="1301"/>
      <c r="I62" s="490"/>
    </row>
    <row r="63" spans="1:9">
      <c r="D63" s="1301"/>
      <c r="E63" s="1301"/>
      <c r="F63" s="1301"/>
      <c r="I63" s="490"/>
    </row>
    <row r="64" spans="1:9">
      <c r="I64" s="490"/>
    </row>
    <row r="65" spans="1:9" ht="14.25">
      <c r="A65" s="484"/>
      <c r="B65" s="485" t="s">
        <v>307</v>
      </c>
      <c r="D65" s="1301" t="s">
        <v>1096</v>
      </c>
      <c r="E65" s="1301"/>
      <c r="F65" s="1301"/>
      <c r="I65" s="490"/>
    </row>
    <row r="66" spans="1:9">
      <c r="D66" s="1301"/>
      <c r="E66" s="1301"/>
      <c r="F66" s="1301"/>
      <c r="I66" s="490"/>
    </row>
    <row r="67" spans="1:9">
      <c r="I67" s="490"/>
    </row>
    <row r="68" spans="1:9" ht="14.25">
      <c r="A68" s="484"/>
      <c r="B68" s="485" t="s">
        <v>307</v>
      </c>
      <c r="D68" s="1301" t="s">
        <v>1097</v>
      </c>
      <c r="E68" s="1301"/>
      <c r="F68" s="1301"/>
      <c r="I68" s="490"/>
    </row>
    <row r="69" spans="1:9">
      <c r="D69" s="1301"/>
      <c r="E69" s="1301"/>
      <c r="F69" s="1301"/>
      <c r="I69" s="490"/>
    </row>
    <row r="70" spans="1:9">
      <c r="D70" s="1301"/>
      <c r="E70" s="1301"/>
      <c r="F70" s="1301"/>
      <c r="I70" s="490"/>
    </row>
    <row r="71" spans="1:9">
      <c r="I71" s="490"/>
    </row>
    <row r="72" spans="1:9" ht="14.25">
      <c r="A72" s="484"/>
      <c r="B72" s="485" t="s">
        <v>307</v>
      </c>
      <c r="D72" s="1301" t="s">
        <v>1098</v>
      </c>
      <c r="E72" s="1301"/>
      <c r="F72" s="1301"/>
      <c r="I72" s="490"/>
    </row>
    <row r="73" spans="1:9">
      <c r="D73" s="1301"/>
      <c r="E73" s="1301"/>
      <c r="F73" s="1301"/>
      <c r="I73" s="490"/>
    </row>
    <row r="74" spans="1:9" ht="14.25">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 customHeight="1">
      <c r="A80" s="484"/>
      <c r="B80" s="485" t="s">
        <v>307</v>
      </c>
      <c r="D80" s="1301" t="s">
        <v>1244</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307</v>
      </c>
      <c r="D89" s="1301" t="s">
        <v>1741</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307</v>
      </c>
      <c r="D92" s="1301" t="s">
        <v>1744</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307</v>
      </c>
      <c r="D96" s="1301" t="s">
        <v>1743</v>
      </c>
      <c r="E96" s="1301"/>
      <c r="F96" s="1301"/>
      <c r="I96" s="490"/>
    </row>
    <row r="97" spans="1:9" s="987" customFormat="1" ht="14.25">
      <c r="A97" s="985"/>
      <c r="B97" s="985"/>
      <c r="C97" s="986"/>
      <c r="D97" s="1301"/>
      <c r="E97" s="1301"/>
      <c r="F97" s="1301"/>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307</v>
      </c>
      <c r="D100" s="1301" t="s">
        <v>1742</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307</v>
      </c>
      <c r="D103" s="1301" t="s">
        <v>1193</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307</v>
      </c>
      <c r="D119" s="1323" t="s">
        <v>1102</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307</v>
      </c>
      <c r="C128" s="402"/>
      <c r="D128" s="1323" t="s">
        <v>2048</v>
      </c>
      <c r="E128" s="1323"/>
      <c r="F128" s="1323"/>
      <c r="I128" s="490"/>
    </row>
    <row r="129" spans="1:9" ht="14.25">
      <c r="A129" s="484"/>
      <c r="B129" s="484"/>
      <c r="C129" s="402"/>
      <c r="D129" s="1323"/>
      <c r="E129" s="1323"/>
      <c r="F129" s="1323"/>
      <c r="I129" s="490"/>
    </row>
    <row r="130" spans="1:9">
      <c r="I130" s="490"/>
    </row>
    <row r="131" spans="1:9" ht="14.25">
      <c r="A131" s="484"/>
      <c r="B131" s="485" t="s">
        <v>307</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307</v>
      </c>
      <c r="D137" s="1301" t="s">
        <v>1104</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307</v>
      </c>
      <c r="D151" s="1301" t="s">
        <v>1176</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2071</v>
      </c>
      <c r="E169" s="1320"/>
      <c r="F169" s="1320"/>
      <c r="G169" s="507"/>
      <c r="I169" s="490"/>
    </row>
    <row r="170" spans="1:9" ht="13.7" customHeight="1">
      <c r="D170" s="1318"/>
      <c r="E170" s="1318"/>
      <c r="F170" s="1318"/>
      <c r="G170" s="1318"/>
      <c r="I170" s="490"/>
    </row>
    <row r="171" spans="1:9" ht="14.45" customHeight="1">
      <c r="A171" s="489"/>
      <c r="B171" s="485" t="s">
        <v>307</v>
      </c>
      <c r="C171" s="476"/>
      <c r="D171" s="1272" t="s">
        <v>2211</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307</v>
      </c>
      <c r="C177" s="476"/>
      <c r="D177" s="1272" t="s">
        <v>1105</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307</v>
      </c>
      <c r="D182" s="1313" t="s">
        <v>2049</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2050</v>
      </c>
      <c r="B186" s="1308"/>
      <c r="C186" s="1308"/>
      <c r="D186" s="1308"/>
      <c r="E186" s="1308"/>
      <c r="F186" s="1308"/>
      <c r="G186" s="1308"/>
      <c r="H186" s="1028"/>
      <c r="I186" s="1153"/>
    </row>
    <row r="187" spans="1:9" ht="12" customHeight="1">
      <c r="D187" s="446"/>
      <c r="E187" s="446"/>
      <c r="F187" s="446"/>
      <c r="I187" s="490"/>
    </row>
    <row r="188" spans="1:9">
      <c r="B188" s="1303" t="s">
        <v>445</v>
      </c>
      <c r="C188" s="1303"/>
      <c r="D188" s="1303"/>
      <c r="E188" s="1303"/>
      <c r="F188" s="1303"/>
      <c r="I188" s="490"/>
    </row>
    <row r="189" spans="1:9">
      <c r="B189" s="392" t="s">
        <v>1873</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307</v>
      </c>
      <c r="D197" s="1288" t="s">
        <v>1746</v>
      </c>
      <c r="E197" s="1288"/>
      <c r="F197" s="1288"/>
      <c r="I197" s="490"/>
    </row>
    <row r="198" spans="1:9">
      <c r="A198" s="404"/>
      <c r="B198" s="404"/>
      <c r="D198" s="1287" t="s">
        <v>1900</v>
      </c>
      <c r="E198" s="1287"/>
      <c r="F198" s="1287"/>
      <c r="I198" s="490"/>
    </row>
    <row r="199" spans="1:9">
      <c r="A199" s="404"/>
      <c r="B199" s="404"/>
      <c r="D199" s="96" t="s">
        <v>1747</v>
      </c>
      <c r="E199" s="1325" t="s">
        <v>1923</v>
      </c>
      <c r="F199" s="1325"/>
      <c r="I199" s="490"/>
    </row>
    <row r="200" spans="1:9">
      <c r="A200" s="404"/>
      <c r="B200" s="404"/>
      <c r="D200" s="3"/>
      <c r="E200" s="3"/>
      <c r="F200" s="3"/>
      <c r="I200" s="490"/>
    </row>
    <row r="201" spans="1:9">
      <c r="A201" s="404"/>
      <c r="B201" s="485" t="s">
        <v>307</v>
      </c>
      <c r="D201" s="1287" t="s">
        <v>1748</v>
      </c>
      <c r="E201" s="1287"/>
      <c r="F201" s="1287"/>
      <c r="I201" s="490"/>
    </row>
    <row r="202" spans="1:9">
      <c r="A202" s="404"/>
      <c r="B202" s="404"/>
      <c r="D202" s="1288" t="s">
        <v>1900</v>
      </c>
      <c r="E202" s="1288"/>
      <c r="F202" s="1288"/>
      <c r="I202" s="490"/>
    </row>
    <row r="203" spans="1:9">
      <c r="A203" s="404"/>
      <c r="B203" s="404"/>
      <c r="D203" s="57" t="s">
        <v>1749</v>
      </c>
      <c r="E203" s="1325" t="s">
        <v>1924</v>
      </c>
      <c r="F203" s="1325"/>
      <c r="I203" s="490"/>
    </row>
    <row r="204" spans="1:9">
      <c r="A204" s="404"/>
      <c r="B204" s="404"/>
      <c r="D204" s="3"/>
      <c r="E204" s="3"/>
      <c r="F204" s="3"/>
      <c r="I204" s="490"/>
    </row>
    <row r="205" spans="1:9">
      <c r="A205" s="404"/>
      <c r="B205" s="485" t="s">
        <v>307</v>
      </c>
      <c r="D205" s="1287" t="s">
        <v>1750</v>
      </c>
      <c r="E205" s="1287"/>
      <c r="F205" s="1287"/>
      <c r="I205" s="490"/>
    </row>
    <row r="206" spans="1:9">
      <c r="A206" s="404"/>
      <c r="B206" s="404"/>
      <c r="D206" s="1288" t="s">
        <v>1900</v>
      </c>
      <c r="E206" s="1288"/>
      <c r="F206" s="1288"/>
      <c r="I206" s="490"/>
    </row>
    <row r="207" spans="1:9">
      <c r="A207" s="404"/>
      <c r="B207" s="404"/>
      <c r="D207" s="57" t="s">
        <v>1747</v>
      </c>
      <c r="E207" s="1325" t="s">
        <v>1925</v>
      </c>
      <c r="F207" s="1325"/>
      <c r="I207" s="490"/>
    </row>
    <row r="208" spans="1:9">
      <c r="A208" s="404"/>
      <c r="B208" s="404"/>
      <c r="D208" s="392"/>
      <c r="E208" s="392"/>
      <c r="F208" s="392"/>
      <c r="I208" s="490"/>
    </row>
    <row r="209" spans="1:9" ht="14.25" customHeight="1">
      <c r="A209" s="484"/>
      <c r="B209" s="485" t="s">
        <v>307</v>
      </c>
      <c r="D209" s="386" t="s">
        <v>1893</v>
      </c>
      <c r="E209" s="385"/>
      <c r="F209" s="385"/>
      <c r="I209" s="490"/>
    </row>
    <row r="210" spans="1:9" ht="14.25">
      <c r="A210" s="484"/>
      <c r="B210" s="484"/>
      <c r="D210" s="1288" t="s">
        <v>1900</v>
      </c>
      <c r="E210" s="1288"/>
      <c r="F210" s="1288"/>
      <c r="I210" s="490"/>
    </row>
    <row r="211" spans="1:9">
      <c r="D211" s="385"/>
      <c r="E211" s="1325" t="s">
        <v>1926</v>
      </c>
      <c r="F211" s="1325"/>
      <c r="I211" s="490"/>
    </row>
    <row r="212" spans="1:9">
      <c r="D212" s="447"/>
      <c r="I212" s="490"/>
    </row>
    <row r="213" spans="1:9">
      <c r="B213" s="485" t="s">
        <v>307</v>
      </c>
      <c r="D213" s="1287" t="s">
        <v>1751</v>
      </c>
      <c r="E213" s="1287"/>
      <c r="F213" s="1287"/>
      <c r="I213" s="490"/>
    </row>
    <row r="214" spans="1:9">
      <c r="D214" s="1288" t="s">
        <v>1900</v>
      </c>
      <c r="E214" s="1288"/>
      <c r="F214" s="1288"/>
      <c r="I214" s="490"/>
    </row>
    <row r="215" spans="1:9">
      <c r="D215" s="57" t="s">
        <v>1747</v>
      </c>
      <c r="E215" s="1325" t="s">
        <v>1927</v>
      </c>
      <c r="F215" s="1325"/>
      <c r="I215" s="490"/>
    </row>
    <row r="216" spans="1:9">
      <c r="D216" s="451"/>
      <c r="E216" s="451"/>
      <c r="F216" s="451"/>
      <c r="I216" s="490"/>
    </row>
    <row r="217" spans="1:9" ht="14.25">
      <c r="A217" s="484"/>
      <c r="B217" s="485" t="s">
        <v>307</v>
      </c>
      <c r="D217" s="1301" t="s">
        <v>1215</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 customHeight="1">
      <c r="A227" s="490"/>
      <c r="C227" s="490"/>
      <c r="D227" s="1309" t="s">
        <v>545</v>
      </c>
      <c r="E227" s="1309"/>
      <c r="F227" s="1309"/>
      <c r="I227" s="490"/>
    </row>
    <row r="228" spans="1:9" ht="14.25">
      <c r="A228" s="484"/>
      <c r="B228" s="485" t="s">
        <v>307</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307</v>
      </c>
      <c r="D233" s="1301" t="s">
        <v>1753</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1117</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307</v>
      </c>
      <c r="D245" s="1301" t="s">
        <v>2051</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307</v>
      </c>
      <c r="D250" s="1301" t="s">
        <v>2052</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307</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307</v>
      </c>
      <c r="D259" s="1301" t="s">
        <v>1118</v>
      </c>
      <c r="E259" s="1301"/>
      <c r="F259" s="1301"/>
      <c r="I259" s="490"/>
    </row>
    <row r="260" spans="1:9" ht="14.25">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307</v>
      </c>
      <c r="D267" s="1301" t="s">
        <v>1195</v>
      </c>
      <c r="E267" s="1301"/>
      <c r="F267" s="1301"/>
      <c r="I267" s="490"/>
    </row>
    <row r="268" spans="1:9">
      <c r="D268" s="1301"/>
      <c r="E268" s="1301"/>
      <c r="F268" s="1301"/>
      <c r="I268" s="490"/>
    </row>
    <row r="269" spans="1:9">
      <c r="E269" s="1036" t="s">
        <v>1896</v>
      </c>
      <c r="I269" s="490"/>
    </row>
    <row r="270" spans="1:9">
      <c r="D270" s="446"/>
      <c r="E270" s="446"/>
      <c r="F270" s="446"/>
      <c r="I270" s="490"/>
    </row>
    <row r="271" spans="1:9" ht="14.45" customHeight="1">
      <c r="A271" s="484"/>
      <c r="B271" s="485" t="s">
        <v>307</v>
      </c>
      <c r="D271" s="1301" t="s">
        <v>2054</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307</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1123</v>
      </c>
      <c r="E288" s="1326"/>
      <c r="F288" s="1326"/>
      <c r="I288" s="490"/>
    </row>
    <row r="289" spans="1:9">
      <c r="E289" s="446"/>
      <c r="F289" s="446"/>
      <c r="I289" s="490"/>
    </row>
    <row r="290" spans="1:9" ht="14.25">
      <c r="A290" s="484"/>
      <c r="B290" s="485" t="s">
        <v>307</v>
      </c>
      <c r="D290" s="1301" t="s">
        <v>1124</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307</v>
      </c>
      <c r="D293" s="1301" t="s">
        <v>1125</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307</v>
      </c>
      <c r="D297" s="1301" t="s">
        <v>1126</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681</v>
      </c>
      <c r="E302" s="1309"/>
      <c r="F302" s="1309"/>
      <c r="I302" s="490"/>
    </row>
    <row r="303" spans="1:9">
      <c r="C303" s="490"/>
      <c r="D303" s="1299" t="s">
        <v>1127</v>
      </c>
      <c r="E303" s="1299"/>
      <c r="F303" s="1299"/>
      <c r="I303" s="490"/>
    </row>
    <row r="304" spans="1:9">
      <c r="C304" s="490"/>
      <c r="D304" s="493"/>
      <c r="I304" s="490"/>
    </row>
    <row r="305" spans="1:9">
      <c r="B305" s="485" t="s">
        <v>307</v>
      </c>
      <c r="D305" s="1299" t="s">
        <v>1128</v>
      </c>
      <c r="E305" s="1299"/>
      <c r="F305" s="1299"/>
      <c r="I305" s="490"/>
    </row>
    <row r="306" spans="1:9" ht="14.25">
      <c r="A306" s="484"/>
      <c r="B306" s="484"/>
      <c r="D306" s="494"/>
      <c r="E306" s="495"/>
      <c r="F306" s="495"/>
      <c r="I306" s="490"/>
    </row>
    <row r="307" spans="1:9" ht="13.7" customHeight="1">
      <c r="B307" s="485" t="s">
        <v>307</v>
      </c>
      <c r="D307" s="1310" t="s">
        <v>1218</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307</v>
      </c>
      <c r="D313" s="1310" t="s">
        <v>1129</v>
      </c>
      <c r="E313" s="1310"/>
      <c r="F313" s="1310"/>
      <c r="I313" s="490"/>
    </row>
    <row r="314" spans="1:9">
      <c r="D314" s="1310"/>
      <c r="E314" s="1310"/>
      <c r="F314" s="1310"/>
      <c r="I314" s="490"/>
    </row>
    <row r="315" spans="1:9" ht="14.25">
      <c r="A315" s="484"/>
      <c r="B315" s="484"/>
      <c r="D315" s="494"/>
      <c r="E315" s="495"/>
      <c r="F315" s="495"/>
      <c r="I315" s="490"/>
    </row>
    <row r="316" spans="1:9">
      <c r="B316" s="485" t="s">
        <v>307</v>
      </c>
      <c r="D316" s="1299" t="s">
        <v>1130</v>
      </c>
      <c r="E316" s="1299"/>
      <c r="F316" s="1299"/>
      <c r="I316" s="490"/>
    </row>
    <row r="317" spans="1:9">
      <c r="E317" s="446"/>
      <c r="F317" s="446"/>
      <c r="I317" s="490"/>
    </row>
    <row r="318" spans="1:9" ht="14.25">
      <c r="A318" s="484"/>
      <c r="B318" s="485" t="s">
        <v>307</v>
      </c>
      <c r="D318" s="1301" t="s">
        <v>2243</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307</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307</v>
      </c>
      <c r="D344" s="1301" t="s">
        <v>1901</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2244</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99" t="s">
        <v>1899</v>
      </c>
      <c r="E355" s="1299"/>
      <c r="F355" s="1299"/>
      <c r="I355" s="490"/>
    </row>
    <row r="356" spans="1:9" ht="12.75" customHeight="1">
      <c r="D356" s="1037"/>
      <c r="E356" s="96" t="s">
        <v>1898</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ht="14.25">
      <c r="A360" s="484"/>
      <c r="B360" s="485" t="s">
        <v>307</v>
      </c>
      <c r="C360" s="476"/>
      <c r="D360" s="1318" t="s">
        <v>2055</v>
      </c>
      <c r="E360" s="1318"/>
      <c r="F360" s="1318"/>
      <c r="I360" s="480"/>
    </row>
    <row r="361" spans="1:9">
      <c r="A361" s="476"/>
      <c r="B361" s="476"/>
      <c r="C361" s="476"/>
      <c r="D361" s="447"/>
      <c r="E361" s="447"/>
      <c r="F361" s="446"/>
      <c r="I361" s="490"/>
    </row>
    <row r="362" spans="1:9">
      <c r="A362" s="476"/>
      <c r="B362" s="485" t="s">
        <v>307</v>
      </c>
      <c r="C362" s="476"/>
      <c r="D362" s="1272" t="s">
        <v>2056</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307</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307</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307</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307</v>
      </c>
      <c r="D423" s="1272" t="s">
        <v>1880</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307</v>
      </c>
      <c r="C429" s="476"/>
      <c r="D429" s="1272" t="s">
        <v>1239</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2072</v>
      </c>
      <c r="E433" s="1272"/>
      <c r="F433" s="1272"/>
      <c r="I433" s="490"/>
    </row>
    <row r="434" spans="1:9">
      <c r="D434" s="446"/>
      <c r="E434" s="446"/>
      <c r="F434" s="446"/>
      <c r="I434" s="490"/>
    </row>
    <row r="435" spans="1:9" ht="14.25">
      <c r="A435" s="484"/>
      <c r="B435" s="485" t="s">
        <v>307</v>
      </c>
      <c r="C435" s="487"/>
      <c r="D435" s="1301" t="s">
        <v>2057</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307</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307</v>
      </c>
      <c r="C471" s="484"/>
      <c r="D471" s="1301" t="s">
        <v>1196</v>
      </c>
      <c r="E471" s="1301"/>
      <c r="F471" s="1301"/>
      <c r="I471" s="490"/>
    </row>
    <row r="472" spans="1:9">
      <c r="D472" s="1301"/>
      <c r="E472" s="1301"/>
      <c r="F472" s="1301"/>
      <c r="I472" s="490"/>
    </row>
    <row r="473" spans="1:9">
      <c r="D473" s="446"/>
      <c r="E473" s="446"/>
      <c r="F473" s="446"/>
      <c r="I473" s="490"/>
    </row>
    <row r="474" spans="1:9" ht="14.25">
      <c r="B474" s="485" t="s">
        <v>307</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307</v>
      </c>
      <c r="C486" s="402"/>
      <c r="D486" s="1301"/>
      <c r="E486" s="1301"/>
      <c r="F486" s="1301"/>
      <c r="I486" s="490"/>
    </row>
    <row r="487" spans="1:9">
      <c r="A487" s="402"/>
      <c r="C487" s="402"/>
      <c r="D487" s="1301"/>
      <c r="E487" s="1301"/>
      <c r="F487" s="1301"/>
      <c r="I487" s="490"/>
    </row>
    <row r="488" spans="1:9">
      <c r="A488" s="402"/>
      <c r="B488" s="485" t="s">
        <v>307</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307</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882</v>
      </c>
      <c r="E498" s="1327"/>
      <c r="F498" s="1327"/>
      <c r="I498" s="490"/>
    </row>
    <row r="499" spans="1:9" ht="14.25">
      <c r="A499" s="484"/>
      <c r="B499" s="484"/>
      <c r="D499" s="1318" t="s">
        <v>1140</v>
      </c>
      <c r="E499" s="1318"/>
      <c r="F499" s="1318"/>
      <c r="I499" s="490"/>
    </row>
    <row r="500" spans="1:9" ht="14.25">
      <c r="A500" s="484"/>
      <c r="B500" s="484"/>
      <c r="D500" s="447"/>
      <c r="I500" s="490"/>
    </row>
    <row r="501" spans="1:9" ht="14.25">
      <c r="A501" s="484"/>
      <c r="B501" s="485" t="s">
        <v>307</v>
      </c>
      <c r="D501" s="1272" t="s">
        <v>1141</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307</v>
      </c>
      <c r="D504" s="1313" t="s">
        <v>1272</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307</v>
      </c>
      <c r="D509" s="1299" t="s">
        <v>1142</v>
      </c>
      <c r="E509" s="1299"/>
      <c r="F509" s="1299"/>
      <c r="I509" s="490"/>
    </row>
    <row r="510" spans="1:9" ht="14.25">
      <c r="A510" s="484"/>
      <c r="B510" s="484"/>
      <c r="D510" s="446"/>
      <c r="I510" s="490"/>
    </row>
    <row r="511" spans="1:9" ht="14.25">
      <c r="A511" s="484"/>
      <c r="B511" s="485" t="s">
        <v>307</v>
      </c>
      <c r="D511" s="1301" t="s">
        <v>1143</v>
      </c>
      <c r="E511" s="1301"/>
      <c r="F511" s="1301"/>
      <c r="I511" s="490"/>
    </row>
    <row r="512" spans="1:9" ht="14.25">
      <c r="A512" s="484"/>
      <c r="D512" s="1301"/>
      <c r="E512" s="1301"/>
      <c r="F512" s="1301"/>
      <c r="I512" s="490"/>
    </row>
    <row r="513" spans="1:9">
      <c r="A513" s="490"/>
      <c r="B513" s="490"/>
      <c r="D513" s="447"/>
      <c r="I513" s="490"/>
    </row>
    <row r="514" spans="1:9">
      <c r="A514" s="490"/>
      <c r="B514" s="485" t="s">
        <v>307</v>
      </c>
      <c r="D514" s="1299" t="s">
        <v>1144</v>
      </c>
      <c r="E514" s="1299"/>
      <c r="F514" s="1299"/>
      <c r="I514" s="490"/>
    </row>
    <row r="515" spans="1:9">
      <c r="D515" s="446"/>
      <c r="E515" s="446"/>
      <c r="F515" s="446"/>
      <c r="I515" s="490"/>
    </row>
    <row r="516" spans="1:9">
      <c r="B516" s="485" t="s">
        <v>307</v>
      </c>
      <c r="D516" s="1301" t="s">
        <v>2278</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792</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307</v>
      </c>
      <c r="C527" s="483"/>
      <c r="D527" s="1272" t="s">
        <v>2058</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307</v>
      </c>
      <c r="D530" s="386" t="s">
        <v>1902</v>
      </c>
      <c r="E530" s="385"/>
      <c r="F530" s="385"/>
      <c r="I530" s="490"/>
    </row>
    <row r="531" spans="1:9">
      <c r="A531" s="483"/>
      <c r="B531" s="483"/>
      <c r="C531" s="483"/>
      <c r="D531" s="385"/>
      <c r="E531" s="96" t="s">
        <v>1903</v>
      </c>
      <c r="I531" s="490"/>
    </row>
    <row r="532" spans="1:9">
      <c r="A532" s="483"/>
      <c r="B532" s="483"/>
      <c r="D532" s="1280" t="s">
        <v>2059</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301" t="s">
        <v>2060</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445</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682</v>
      </c>
      <c r="E545" s="1309"/>
      <c r="F545" s="1309"/>
      <c r="I545" s="490"/>
    </row>
    <row r="546" spans="1:9">
      <c r="C546" s="487"/>
      <c r="D546" s="1299" t="s">
        <v>1080</v>
      </c>
      <c r="E546" s="1299"/>
      <c r="F546" s="1299"/>
      <c r="I546" s="490"/>
    </row>
    <row r="547" spans="1:9">
      <c r="C547" s="487"/>
      <c r="D547" s="446"/>
      <c r="E547" s="446"/>
      <c r="F547" s="446"/>
      <c r="I547" s="490"/>
    </row>
    <row r="548" spans="1:9" ht="13.7" customHeight="1">
      <c r="A548" s="484"/>
      <c r="B548" s="485" t="s">
        <v>307</v>
      </c>
      <c r="C548" s="487"/>
      <c r="D548" s="1299" t="s">
        <v>883</v>
      </c>
      <c r="E548" s="1299"/>
      <c r="F548" s="1299"/>
      <c r="I548" s="490"/>
    </row>
    <row r="549" spans="1:9" ht="13.7" customHeight="1">
      <c r="A549" s="487"/>
      <c r="B549" s="487"/>
      <c r="C549" s="487"/>
      <c r="D549" s="446"/>
      <c r="I549" s="490"/>
    </row>
    <row r="550" spans="1:9" ht="14.25">
      <c r="A550" s="484"/>
      <c r="B550" s="485" t="s">
        <v>307</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307</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307</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307</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307</v>
      </c>
      <c r="C563" s="487"/>
      <c r="D563" s="1301" t="s">
        <v>2245</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307</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307</v>
      </c>
      <c r="C569" s="487"/>
      <c r="D569" s="1299" t="s">
        <v>1086</v>
      </c>
      <c r="E569" s="1299"/>
      <c r="F569" s="1299"/>
      <c r="I569" s="490"/>
    </row>
    <row r="570" spans="1:9">
      <c r="A570" s="490"/>
      <c r="B570" s="490"/>
      <c r="C570" s="487"/>
      <c r="D570" s="1299" t="s">
        <v>1905</v>
      </c>
      <c r="E570" s="1299"/>
      <c r="F570" s="1299"/>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307</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307</v>
      </c>
      <c r="C578" s="487"/>
      <c r="D578" s="1301" t="s">
        <v>2061</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307</v>
      </c>
      <c r="D588" s="1313" t="s">
        <v>887</v>
      </c>
      <c r="E588" s="1313"/>
      <c r="F588" s="1313"/>
      <c r="I588" s="490"/>
    </row>
    <row r="589" spans="1:9">
      <c r="A589" s="490"/>
      <c r="B589" s="490"/>
      <c r="D589" s="476"/>
      <c r="I589" s="490"/>
    </row>
    <row r="590" spans="1:9">
      <c r="A590" s="490"/>
      <c r="B590" s="485" t="s">
        <v>307</v>
      </c>
      <c r="D590" s="1313" t="s">
        <v>2062</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307</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307</v>
      </c>
      <c r="D599" s="1313" t="s">
        <v>2063</v>
      </c>
      <c r="E599" s="1313"/>
      <c r="F599" s="1313"/>
      <c r="I599" s="490"/>
    </row>
    <row r="600" spans="1:9">
      <c r="A600" s="490"/>
      <c r="B600" s="490"/>
      <c r="D600" s="1313"/>
      <c r="E600" s="1313"/>
      <c r="F600" s="1313"/>
      <c r="I600" s="490"/>
    </row>
    <row r="601" spans="1:9">
      <c r="A601" s="490"/>
      <c r="B601" s="490"/>
      <c r="D601" s="499"/>
      <c r="I601" s="490"/>
    </row>
    <row r="602" spans="1:9">
      <c r="A602" s="490"/>
      <c r="B602" s="485" t="s">
        <v>307</v>
      </c>
      <c r="D602" s="1313" t="s">
        <v>1068</v>
      </c>
      <c r="E602" s="1313"/>
      <c r="F602" s="1313"/>
      <c r="I602" s="490"/>
    </row>
    <row r="603" spans="1:9">
      <c r="A603" s="490"/>
      <c r="B603" s="490"/>
      <c r="D603" s="1313"/>
      <c r="E603" s="1313"/>
      <c r="F603" s="1313"/>
      <c r="I603" s="490"/>
    </row>
    <row r="604" spans="1:9" ht="14.25">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307</v>
      </c>
      <c r="D610" s="1314" t="s">
        <v>1906</v>
      </c>
      <c r="E610" s="1314"/>
      <c r="F610" s="1314"/>
      <c r="I610" s="490"/>
    </row>
    <row r="611" spans="1:9">
      <c r="D611" s="1314"/>
      <c r="E611" s="1314"/>
      <c r="F611" s="1314"/>
      <c r="I611" s="490"/>
    </row>
    <row r="612" spans="1:9">
      <c r="D612" s="385"/>
      <c r="E612" s="1036" t="s">
        <v>1907</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307</v>
      </c>
      <c r="D620" s="1307" t="s">
        <v>1110</v>
      </c>
      <c r="E620" s="1307"/>
      <c r="F620" s="1307"/>
      <c r="I620" s="490"/>
    </row>
    <row r="621" spans="1:9">
      <c r="D621" s="1307"/>
      <c r="E621" s="1307"/>
      <c r="F621" s="1307"/>
      <c r="I621" s="490"/>
    </row>
    <row r="622" spans="1:9">
      <c r="I622" s="490"/>
    </row>
    <row r="623" spans="1:9">
      <c r="B623" s="485" t="s">
        <v>307</v>
      </c>
      <c r="D623" s="1307" t="s">
        <v>1111</v>
      </c>
      <c r="E623" s="1307"/>
      <c r="F623" s="1307"/>
      <c r="I623" s="490"/>
    </row>
    <row r="624" spans="1:9">
      <c r="C624" s="500"/>
      <c r="D624" s="1307"/>
      <c r="E624" s="1307"/>
      <c r="F624" s="1307"/>
      <c r="I624" s="490"/>
    </row>
    <row r="625" spans="1:9">
      <c r="C625" s="500"/>
      <c r="I625" s="490"/>
    </row>
    <row r="626" spans="1:9">
      <c r="B626" s="485" t="s">
        <v>307</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307</v>
      </c>
      <c r="D633" s="1314" t="s">
        <v>2064</v>
      </c>
      <c r="E633" s="1314"/>
      <c r="F633" s="1314"/>
      <c r="I633" s="490"/>
    </row>
    <row r="634" spans="1:9">
      <c r="D634" s="1314"/>
      <c r="E634" s="1314"/>
      <c r="F634" s="1314"/>
      <c r="I634" s="490"/>
    </row>
    <row r="635" spans="1:9">
      <c r="D635" s="385"/>
      <c r="E635" s="1036" t="s">
        <v>1909</v>
      </c>
      <c r="F635" s="385"/>
      <c r="I635" s="490"/>
    </row>
    <row r="636" spans="1:9">
      <c r="D636" s="1301" t="s">
        <v>1908</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307</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307</v>
      </c>
      <c r="C643" s="487"/>
      <c r="D643" s="1301" t="s">
        <v>1224</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307</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307</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307</v>
      </c>
      <c r="C658" s="487"/>
      <c r="D658" s="1301" t="s">
        <v>1282</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307</v>
      </c>
      <c r="C664" s="487"/>
      <c r="D664" s="1301" t="s">
        <v>1281</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307</v>
      </c>
      <c r="C669" s="487"/>
      <c r="D669" s="1301" t="s">
        <v>2065</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ht="14.25">
      <c r="A685" s="484"/>
      <c r="B685" s="485" t="s">
        <v>307</v>
      </c>
      <c r="C685" s="483"/>
      <c r="D685" s="1299" t="s">
        <v>884</v>
      </c>
      <c r="E685" s="1299"/>
      <c r="F685" s="1299"/>
      <c r="H685" s="501"/>
      <c r="I685" s="483"/>
      <c r="J685" s="501"/>
      <c r="K685" s="501"/>
    </row>
    <row r="686" spans="1:11">
      <c r="A686" s="483"/>
      <c r="B686" s="483"/>
      <c r="C686" s="483"/>
      <c r="D686" s="1299" t="s">
        <v>893</v>
      </c>
      <c r="E686" s="1299"/>
      <c r="F686" s="1299"/>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301" t="s">
        <v>2066</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307</v>
      </c>
      <c r="C694" s="483"/>
      <c r="D694" s="1299" t="s">
        <v>916</v>
      </c>
      <c r="E694" s="1299"/>
      <c r="F694" s="1299"/>
      <c r="H694" s="501"/>
      <c r="I694" s="483"/>
      <c r="J694" s="501"/>
      <c r="K694" s="501"/>
    </row>
    <row r="695" spans="1:11" ht="14.25">
      <c r="A695" s="484"/>
      <c r="B695" s="484"/>
      <c r="C695" s="483"/>
      <c r="D695" s="1299" t="s">
        <v>893</v>
      </c>
      <c r="E695" s="1299"/>
      <c r="F695" s="1299"/>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99" t="s">
        <v>2467</v>
      </c>
      <c r="E698" s="1299"/>
      <c r="F698" s="1299"/>
      <c r="H698" s="501"/>
      <c r="I698" s="483"/>
      <c r="J698" s="501"/>
      <c r="K698" s="501"/>
    </row>
    <row r="699" spans="1:11" ht="14.25">
      <c r="A699" s="484"/>
      <c r="B699" s="484"/>
      <c r="C699" s="483"/>
      <c r="D699" s="1299" t="s">
        <v>893</v>
      </c>
      <c r="E699" s="1299"/>
      <c r="F699" s="1299"/>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301" t="s">
        <v>2242</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307</v>
      </c>
      <c r="C725" s="483"/>
      <c r="D725" s="1301" t="s">
        <v>2460</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301" t="s">
        <v>2459</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307</v>
      </c>
      <c r="C733" s="483"/>
      <c r="D733" s="1301" t="s">
        <v>2458</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307</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307</v>
      </c>
      <c r="C744" s="483"/>
      <c r="D744" s="1301" t="s">
        <v>2144</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2073</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307</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307</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307</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307</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307</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307</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307</v>
      </c>
      <c r="C794" s="989"/>
      <c r="D794" s="1294" t="s">
        <v>1757</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307</v>
      </c>
      <c r="C798" s="989"/>
      <c r="D798" s="1294" t="s">
        <v>1758</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1801</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307</v>
      </c>
      <c r="C808" s="989"/>
      <c r="D808" s="1294" t="s">
        <v>1759</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307</v>
      </c>
      <c r="C815" s="989"/>
      <c r="D815" s="1294" t="s">
        <v>1760</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307</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1764</v>
      </c>
      <c r="E834" s="1262"/>
      <c r="F834" s="1262"/>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2074</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1765</v>
      </c>
      <c r="E848" s="1262"/>
      <c r="F848" s="1262"/>
      <c r="G848" s="3"/>
      <c r="I848" s="490" t="s">
        <v>1881</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2067</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1767</v>
      </c>
      <c r="E861" s="1262"/>
      <c r="F861" s="1262"/>
      <c r="G861" s="3"/>
      <c r="I861" s="490" t="s">
        <v>1879</v>
      </c>
    </row>
    <row r="862" spans="1:9" ht="12.75" customHeight="1">
      <c r="A862" s="175"/>
      <c r="B862" s="175"/>
      <c r="C862" s="989"/>
      <c r="D862" s="1262" t="s">
        <v>1768</v>
      </c>
      <c r="E862" s="1262"/>
      <c r="F862" s="1262"/>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1769</v>
      </c>
      <c r="E865" s="1262"/>
      <c r="F865" s="1262"/>
      <c r="G865" s="3"/>
      <c r="I865" s="490" t="s">
        <v>1882</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307</v>
      </c>
      <c r="C875" s="354"/>
      <c r="D875" s="1288" t="s">
        <v>1772</v>
      </c>
      <c r="E875" s="1288"/>
      <c r="F875" s="1288"/>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1773</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307</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2067</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307</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307</v>
      </c>
      <c r="C930" s="989"/>
      <c r="D930" s="1288" t="s">
        <v>2068</v>
      </c>
      <c r="E930" s="1288"/>
      <c r="F930" s="1288"/>
      <c r="G930" s="988"/>
      <c r="I930" s="490"/>
    </row>
    <row r="931" spans="1:9" ht="12.75" customHeight="1">
      <c r="A931" s="989"/>
      <c r="B931" s="989"/>
      <c r="C931" s="989"/>
      <c r="D931" s="118"/>
      <c r="E931" s="988"/>
      <c r="F931" s="988"/>
      <c r="G931" s="988"/>
      <c r="I931" s="490"/>
    </row>
    <row r="932" spans="1:9" ht="12.75" customHeight="1">
      <c r="A932" s="989"/>
      <c r="B932" s="485" t="s">
        <v>307</v>
      </c>
      <c r="C932" s="989"/>
      <c r="D932" s="1288" t="s">
        <v>2069</v>
      </c>
      <c r="E932" s="1288"/>
      <c r="F932" s="1288"/>
      <c r="G932" s="988"/>
      <c r="I932" s="490"/>
    </row>
    <row r="933" spans="1:9" ht="12.75" customHeight="1">
      <c r="A933" s="174"/>
      <c r="B933" s="174"/>
      <c r="C933" s="174"/>
      <c r="D933" s="2"/>
      <c r="E933" s="3"/>
      <c r="F933" s="988"/>
      <c r="G933" s="988"/>
      <c r="I933" s="490"/>
    </row>
    <row r="934" spans="1:9" ht="12.75" customHeight="1">
      <c r="A934" s="997"/>
      <c r="B934" s="485" t="s">
        <v>307</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307</v>
      </c>
      <c r="C944" s="174"/>
      <c r="D944" s="1297" t="s">
        <v>1885</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307</v>
      </c>
      <c r="C952" s="174"/>
      <c r="D952" s="1272" t="s">
        <v>2136</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73" t="s">
        <v>1884</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307</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307</v>
      </c>
      <c r="C973" s="354"/>
      <c r="D973" s="1262" t="s">
        <v>2070</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307</v>
      </c>
      <c r="C994" s="354"/>
      <c r="D994" s="1296" t="s">
        <v>1914</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307</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307</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307</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307</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2246</v>
      </c>
      <c r="E1045" s="1287"/>
      <c r="F1045" s="1287"/>
      <c r="G1045" s="98"/>
      <c r="I1045" s="490"/>
    </row>
    <row r="1046" spans="1:9" ht="12.75" customHeight="1">
      <c r="A1046" s="175"/>
      <c r="B1046" s="485" t="s">
        <v>307</v>
      </c>
      <c r="C1046" s="354"/>
      <c r="D1046" s="1287" t="s">
        <v>984</v>
      </c>
      <c r="E1046" s="1287"/>
      <c r="F1046" s="1287"/>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307</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307</v>
      </c>
      <c r="C1062" s="402"/>
      <c r="D1062" s="402" t="s">
        <v>1811</v>
      </c>
      <c r="I1062" s="490"/>
    </row>
    <row r="1063" spans="1:9">
      <c r="A1063" s="402"/>
      <c r="B1063" s="402"/>
      <c r="C1063" s="402"/>
      <c r="I1063" s="490"/>
    </row>
    <row r="1064" spans="1:9">
      <c r="A1064" s="402"/>
      <c r="B1064" s="485" t="s">
        <v>307</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307</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307</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307</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307</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292" t="s">
        <v>1928</v>
      </c>
      <c r="E1101" s="1292"/>
      <c r="F1101" s="1292"/>
      <c r="I1101" s="490"/>
    </row>
    <row r="1102" spans="1:9">
      <c r="A1102" s="402"/>
      <c r="B1102" s="402"/>
      <c r="C1102" s="402"/>
      <c r="D1102" s="1292"/>
      <c r="E1102" s="1292"/>
      <c r="F1102" s="1292"/>
      <c r="I1102" s="490"/>
    </row>
    <row r="1103" spans="1:9">
      <c r="A1103" s="402"/>
      <c r="B1103" s="402"/>
      <c r="C1103" s="402"/>
      <c r="D1103" s="1293" t="s">
        <v>2142</v>
      </c>
      <c r="E1103" s="1262"/>
      <c r="F1103" s="1262"/>
      <c r="I1103" s="490"/>
    </row>
    <row r="1104" spans="1:9">
      <c r="A1104" s="402"/>
      <c r="B1104" s="402"/>
      <c r="C1104" s="402"/>
      <c r="D1104" s="527"/>
      <c r="I1104" s="490"/>
    </row>
    <row r="1105" spans="1:9">
      <c r="A1105" s="402"/>
      <c r="B1105" s="485" t="s">
        <v>307</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307</v>
      </c>
      <c r="C1108" s="402"/>
      <c r="D1108" s="1290" t="s">
        <v>1886</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307</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307</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307</v>
      </c>
      <c r="C1123" s="402"/>
      <c r="D1123" s="1262" t="s">
        <v>1888</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536" workbookViewId="0">
      <selection activeCell="AM554" sqref="AM554:AS56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 xml:space="preserve">Coastal (Monterey, Napa, Orange, San Benito, San Diego, San Luis Obispo, Santa Barbara, Sonoma, and Ventura Counties) </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73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2508</v>
      </c>
      <c r="BE8" s="1249">
        <f>SUMIF($AC$718:$AC$752,"&lt;=35%",$G$718:G$752)-SUM($BE$5:BE7)</f>
        <v>0</v>
      </c>
    </row>
    <row r="9" spans="1:58" ht="12.95" customHeight="1">
      <c r="A9" s="1372" t="s">
        <v>2075</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2500</v>
      </c>
      <c r="BE9" s="1249">
        <f>SUMIF($AC$718:$AC$752,"&lt;=40%",$G$718:G$752)-SUM($BE$5:BE8)</f>
        <v>0</v>
      </c>
    </row>
    <row r="10" spans="1:58" ht="12.95" customHeight="1">
      <c r="A10" s="1372" t="s">
        <v>2457</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2509</v>
      </c>
      <c r="BE10" s="1249">
        <f>SUMIF($AC$718:$AC$752,"&lt;=45%",$G$718:G$752)-SUM($BE$5:BE9)</f>
        <v>0</v>
      </c>
    </row>
    <row r="11" spans="1:58" ht="12.95" customHeight="1">
      <c r="A11" s="1372" t="s">
        <v>2603</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2501</v>
      </c>
      <c r="BE11" s="1249">
        <f>SUMIF($AC$718:$AC$752,"&lt;=50%",$G$718:G$752)-SUM($BE$5:BE10)</f>
        <v>0</v>
      </c>
    </row>
    <row r="12" spans="1:58" ht="12.95" customHeight="1">
      <c r="A12" s="1411" t="s">
        <v>2609</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2510</v>
      </c>
      <c r="BE12" s="1249">
        <f>SUMIF($AC$718:$AC$752,"&lt;=55%",$G$718:G$752)-SUM($BE$5:BE11)</f>
        <v>0</v>
      </c>
    </row>
    <row r="13" spans="1:58" ht="12.95" customHeight="1">
      <c r="A13" s="1260" t="s">
        <v>2076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2502</v>
      </c>
      <c r="BE13" s="1249">
        <f>SUMIF($AC$718:$AC$752,"&lt;=60%",$G$718:G$752)-SUM($BE$5:BE12)</f>
        <v>74</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2077</v>
      </c>
      <c r="C16" s="4"/>
      <c r="D16" s="4"/>
      <c r="E16" s="4"/>
      <c r="F16" s="4"/>
      <c r="G16" s="4"/>
      <c r="H16" s="1419" t="s">
        <v>2611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655</v>
      </c>
      <c r="BE16" s="1249" t="str">
        <f>Application!H18</f>
        <v>Green Manor</v>
      </c>
    </row>
    <row r="17" spans="1:58" ht="12.95" customHeight="1">
      <c r="BD17" s="1247" t="s">
        <v>2517</v>
      </c>
      <c r="BE17" s="1249">
        <f>Application!AA934</f>
        <v>0</v>
      </c>
    </row>
    <row r="18" spans="1:58" ht="12.95" customHeight="1">
      <c r="A18" s="57" t="s">
        <v>101</v>
      </c>
      <c r="C18" s="4"/>
      <c r="D18" s="4"/>
      <c r="E18" s="4"/>
      <c r="F18" s="4"/>
      <c r="G18" s="4"/>
      <c r="H18" s="1416" t="s">
        <v>2612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2518</v>
      </c>
      <c r="BE18" s="1249">
        <f>'CalHFA Addendum'!N11</f>
        <v>0</v>
      </c>
    </row>
    <row r="19" spans="1:58" ht="12.95" customHeight="1">
      <c r="BD19" s="1247" t="s">
        <v>2519</v>
      </c>
      <c r="BE19" s="1249">
        <f>Application!M26</f>
        <v>2737660</v>
      </c>
    </row>
    <row r="20" spans="1:58" ht="12.95" customHeight="1">
      <c r="A20" s="1412" t="s">
        <v>872</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2520</v>
      </c>
      <c r="BE20" s="1249">
        <f>Application!M27</f>
        <v>0</v>
      </c>
    </row>
    <row r="21" spans="1:58" ht="12.95" customHeight="1">
      <c r="A21" s="1421" t="s">
        <v>1008</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2521</v>
      </c>
      <c r="BE21" s="1249">
        <f>Application!AM554</f>
        <v>16230000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66914618</v>
      </c>
      <c r="BF22" s="3" t="s">
        <v>2594</v>
      </c>
    </row>
    <row r="23" spans="1:58" ht="12.95" customHeight="1">
      <c r="A23" s="1292" t="s">
        <v>2145</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2522</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2523</v>
      </c>
      <c r="BE24" s="1249">
        <f>Application!AG450</f>
        <v>73328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5" customHeight="1">
      <c r="A26" s="4"/>
      <c r="C26" s="4"/>
      <c r="D26" s="4"/>
      <c r="E26" s="4"/>
      <c r="F26" s="4"/>
      <c r="G26" s="4"/>
      <c r="H26" s="4"/>
      <c r="I26" s="4"/>
      <c r="J26" s="4"/>
      <c r="K26" s="4"/>
      <c r="L26" s="4"/>
      <c r="M26" s="1418">
        <f>'Basis &amp; Credits'!AB56</f>
        <v>2737660</v>
      </c>
      <c r="N26" s="1418"/>
      <c r="O26" s="1418"/>
      <c r="P26" s="1418"/>
      <c r="Q26" s="1418"/>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1266</v>
      </c>
      <c r="S27" s="4"/>
      <c r="T27" s="4"/>
      <c r="U27" s="4"/>
      <c r="V27" s="4"/>
      <c r="W27" s="4"/>
      <c r="X27" s="4"/>
      <c r="Y27" s="4"/>
      <c r="Z27" s="4"/>
      <c r="AF27" s="4"/>
      <c r="AG27" s="4"/>
      <c r="AH27" s="4"/>
      <c r="AI27" s="4"/>
      <c r="AJ27" s="4"/>
      <c r="AK27" s="4"/>
      <c r="BD27" s="1247" t="s">
        <v>2097</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413" t="s">
        <v>2146</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2526</v>
      </c>
      <c r="BE29" s="1249" t="b">
        <f>Application!M358="Yes"</f>
        <v>1</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2527</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1277</v>
      </c>
      <c r="C33" s="519"/>
      <c r="D33" s="519"/>
      <c r="E33" s="519"/>
      <c r="F33" s="519"/>
      <c r="G33" s="519"/>
      <c r="H33" s="519"/>
      <c r="I33" s="519"/>
      <c r="J33" s="519"/>
      <c r="K33" s="519"/>
      <c r="L33" s="519"/>
      <c r="M33" s="519"/>
      <c r="N33" s="519"/>
      <c r="O33" s="1332" t="s">
        <v>668</v>
      </c>
      <c r="P33" s="1332"/>
      <c r="Q33" s="1414" t="s">
        <v>2147</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2595</v>
      </c>
      <c r="BE33" s="1249" t="str">
        <f>Application!D220</f>
        <v>San Diego County</v>
      </c>
    </row>
    <row r="34" spans="1:57" ht="12.95" customHeight="1">
      <c r="A34" s="1413" t="s">
        <v>2148</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2529</v>
      </c>
      <c r="BE34" s="1249" t="str">
        <f>Application!I185</f>
        <v>4041 Ibis Street</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2530</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2531</v>
      </c>
      <c r="BE36" s="1249" t="str">
        <f>Application!I189</f>
        <v>San Diego</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2532</v>
      </c>
      <c r="BE37" s="1249" t="str">
        <f>Application!T189</f>
        <v>San Diego</v>
      </c>
    </row>
    <row r="38" spans="1:57" ht="12.95" customHeight="1">
      <c r="A38" s="3"/>
      <c r="AZ38" s="20"/>
      <c r="BD38" s="1248" t="s">
        <v>2533</v>
      </c>
      <c r="BE38" s="1249">
        <f>Application!I190</f>
        <v>92103</v>
      </c>
    </row>
    <row r="39" spans="1:57" ht="12.95" customHeight="1">
      <c r="A39" s="1262" t="s">
        <v>2149</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149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147</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0.45102040816326527</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0.4095153199608309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449091.39597315434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2.95" customHeight="1">
      <c r="A46" s="1292" t="s">
        <v>2150</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2539</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2540</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2541</v>
      </c>
      <c r="BE48" s="1249" t="str">
        <f>Application!M243</f>
        <v>Hearthstone Green Manor, LLC (By: Heathstone Housing Foundation, its sole member)</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2542</v>
      </c>
      <c r="BE49" s="1249" t="str">
        <f>Application!M246</f>
        <v>Socorro Vasquez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Green Manor Housing Partners, LP</v>
      </c>
    </row>
    <row r="51" spans="1:57" ht="12.95" customHeight="1">
      <c r="A51" s="1262" t="s">
        <v>2151</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Green Manor MGP,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Lara Gates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Green Manor Housing Partners, LP</v>
      </c>
    </row>
    <row r="54" spans="1:57" ht="12.95" customHeight="1">
      <c r="A54" s="1262" t="s">
        <v>2152</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RAHD Group,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3111 Camino Del Rio N, Suite 607</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San Diego, CA 92108</v>
      </c>
    </row>
    <row r="60" spans="1:57" ht="12.95" customHeight="1">
      <c r="A60" s="1262" t="s">
        <v>2153</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David Beacham</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Dave@rahdgroup.com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0.88</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2.95" customHeight="1">
      <c r="A65" s="1415" t="s">
        <v>2155</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2592</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2557</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2558</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415" t="s">
        <v>2156</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2560</v>
      </c>
      <c r="BE69" s="1249" t="str">
        <f>Application!W700</f>
        <v>CMFA</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2561</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20</v>
      </c>
    </row>
    <row r="72" spans="1:57" ht="12.95" customHeight="1">
      <c r="A72" s="1413" t="s">
        <v>2157</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2563</v>
      </c>
      <c r="BE72" s="1249">
        <f>'Points System'!AF805</f>
        <v>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786" t="s">
        <v>2158</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2566</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2567</v>
      </c>
      <c r="BE76" s="1249">
        <f>'Points System'!AF811</f>
        <v>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415" t="s">
        <v>2159</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2570</v>
      </c>
      <c r="BE79" s="1249">
        <f>'Points System'!AF815</f>
        <v>0</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2571</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2" t="s">
        <v>2160</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3.7737688526658073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Colin Miller</v>
      </c>
    </row>
    <row r="86" spans="1:57" ht="12.95" customHeight="1">
      <c r="A86" s="1262" t="s">
        <v>2161</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Vice President Multihousing Finance</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San Diego</v>
      </c>
    </row>
    <row r="89" spans="1:57" ht="12.95" customHeight="1">
      <c r="A89" s="1785" t="s">
        <v>2162</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2580</v>
      </c>
      <c r="BE89" s="1249">
        <f>Application!O158</f>
        <v>92101</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2581</v>
      </c>
      <c r="BE90" s="1249" t="str">
        <f>Application!H16</f>
        <v>Green Manor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3111 Camino Del Rio N, Suite 607</v>
      </c>
    </row>
    <row r="92" spans="1:57" ht="12.95" customHeight="1">
      <c r="A92" s="1786" t="s">
        <v>2163</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2583</v>
      </c>
      <c r="BE92" s="1249" t="str">
        <f>Application!M234</f>
        <v>San Diego</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2584</v>
      </c>
      <c r="BE93" s="1249" t="str">
        <f>Application!W234</f>
        <v>CA</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2585</v>
      </c>
      <c r="BE94" s="1249">
        <f>Application!AC234</f>
        <v>92108</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2586</v>
      </c>
      <c r="BE95" s="1249" t="str">
        <f>Application!M235</f>
        <v>David Beacham</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2587</v>
      </c>
      <c r="BE96" s="1249" t="str">
        <f>Application!M237</f>
        <v>Dave@rahdgroup.com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2588</v>
      </c>
      <c r="BE97" s="1249" t="str">
        <f>Application!M248</f>
        <v>coco@hearthstonehousing.org</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2589</v>
      </c>
      <c r="BE98" s="1249" t="str">
        <f>Application!M256</f>
        <v>Larangates@me.com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787" t="s">
        <v>2164</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2591</v>
      </c>
      <c r="BE100" s="1249" t="str">
        <f>Application!L279</f>
        <v>Dave@rahdgroup.com</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2596</v>
      </c>
      <c r="BE101">
        <f>'Sources and Uses Budget'!C105</f>
        <v>66914618</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2597</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2165</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v>25</v>
      </c>
      <c r="H113" s="1788"/>
      <c r="I113" s="3" t="s">
        <v>182</v>
      </c>
      <c r="L113" s="1788" t="s">
        <v>2613</v>
      </c>
      <c r="M113" s="1788"/>
      <c r="N113" s="1788"/>
      <c r="O113" s="1788"/>
      <c r="P113" s="1794" t="s">
        <v>2238</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728</v>
      </c>
      <c r="D115" s="1799"/>
      <c r="E115" s="1799"/>
      <c r="F115" s="1799"/>
      <c r="G115" s="1799"/>
      <c r="H115" s="1799"/>
      <c r="I115" s="1799"/>
      <c r="J115" s="1799"/>
      <c r="K115" s="1799"/>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88"/>
      <c r="Z117" s="1788"/>
      <c r="AA117" s="1788"/>
      <c r="AB117" s="1788"/>
      <c r="AC117" s="1788"/>
      <c r="AD117" s="1788"/>
      <c r="AE117" s="1788"/>
      <c r="AF117" s="1788"/>
      <c r="AG117" s="1788"/>
      <c r="AH117" s="1788"/>
      <c r="AI117" s="1788"/>
      <c r="AJ117" s="1788"/>
      <c r="AK117" s="1788"/>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2614</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6" t="s">
        <v>468</v>
      </c>
      <c r="CV122" s="1657"/>
      <c r="CW122" s="14"/>
      <c r="CX122" s="14" t="s">
        <v>633</v>
      </c>
      <c r="CY122" s="14"/>
      <c r="CZ122" s="14"/>
      <c r="DA122" s="14"/>
      <c r="DB122" s="14"/>
      <c r="DC122" s="14"/>
      <c r="DD122" s="14"/>
      <c r="DE122" s="14"/>
      <c r="DF122" s="14"/>
      <c r="DG122" s="1653" t="str">
        <f>T189</f>
        <v>San Diego</v>
      </c>
      <c r="DH122" s="1654"/>
      <c r="DI122" s="1654"/>
      <c r="DJ122" s="1654"/>
      <c r="DK122" s="1654"/>
      <c r="DL122" s="1654"/>
      <c r="DM122" s="1655"/>
    </row>
    <row r="123" spans="1:117" ht="12.95" customHeight="1">
      <c r="A123" s="3"/>
      <c r="B123" s="3"/>
      <c r="T123" s="3"/>
      <c r="U123" s="3"/>
      <c r="V123" s="3"/>
      <c r="W123" s="3"/>
      <c r="X123" s="3"/>
      <c r="Y123" s="1788" t="s">
        <v>2615</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644</v>
      </c>
      <c r="O153" s="1416" t="s">
        <v>2723</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439</v>
      </c>
      <c r="O154" s="1545" t="s">
        <v>2722</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2466</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807" t="s">
        <v>2724</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590</v>
      </c>
      <c r="CR155" s="31"/>
      <c r="CS155" s="32"/>
      <c r="CT155" s="32"/>
      <c r="CU155" s="32"/>
      <c r="CV155" s="32"/>
      <c r="CW155" s="32"/>
      <c r="CX155" s="14"/>
      <c r="CY155" s="31"/>
      <c r="CZ155" s="14"/>
      <c r="DA155" s="14"/>
      <c r="DB155" s="14"/>
      <c r="DC155" s="14"/>
      <c r="DD155" s="14"/>
    </row>
    <row r="156" spans="1:108" ht="12.95" customHeight="1">
      <c r="D156" t="s">
        <v>313</v>
      </c>
      <c r="O156" s="1371" t="s">
        <v>2725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6" t="s">
        <v>728</v>
      </c>
      <c r="P157" s="1417"/>
      <c r="Q157" s="1417"/>
      <c r="R157" s="1417"/>
      <c r="S157" s="1417"/>
      <c r="T157" s="1417"/>
      <c r="U157" s="1417"/>
      <c r="V157" s="1417"/>
      <c r="W157" s="1417"/>
      <c r="X157" s="1417"/>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92101</v>
      </c>
      <c r="P158" s="1791"/>
      <c r="Q158" s="1791"/>
      <c r="R158" s="1791"/>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2726</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477</v>
      </c>
      <c r="CB159" s="347" t="s">
        <v>647</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632</v>
      </c>
      <c r="CT159" s="72" t="s">
        <v>325</v>
      </c>
      <c r="CU159" s="72" t="s">
        <v>163</v>
      </c>
      <c r="CV159" s="72" t="s">
        <v>164</v>
      </c>
      <c r="CW159" s="72" t="s">
        <v>459</v>
      </c>
      <c r="CX159" s="14"/>
      <c r="CY159" s="14"/>
      <c r="CZ159" s="71" t="s">
        <v>632</v>
      </c>
      <c r="DA159" s="72" t="s">
        <v>325</v>
      </c>
      <c r="DB159" s="72" t="s">
        <v>163</v>
      </c>
      <c r="DC159" s="72" t="s">
        <v>164</v>
      </c>
      <c r="DD159" s="72" t="s">
        <v>459</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318</v>
      </c>
      <c r="O161" s="1784" t="s">
        <v>2727</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0" t="s">
        <v>2215</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2" t="s">
        <v>538</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211</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319</v>
      </c>
      <c r="C172" s="2" t="s">
        <v>320</v>
      </c>
      <c r="BN172" s="23" t="s">
        <v>213</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321</v>
      </c>
      <c r="J173" s="1806" t="s">
        <v>2616</v>
      </c>
      <c r="K173" s="1806"/>
      <c r="L173" s="1806"/>
      <c r="M173" s="1806"/>
      <c r="N173" s="1806"/>
      <c r="O173" s="1806"/>
      <c r="P173" s="1806"/>
      <c r="Q173" s="1806"/>
      <c r="R173" s="1806"/>
      <c r="S173" s="1806"/>
      <c r="U173" s="25"/>
      <c r="X173" s="25"/>
      <c r="BB173" s="3" t="s">
        <v>307</v>
      </c>
      <c r="BN173" s="23" t="s">
        <v>214</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371" t="s">
        <v>2100</v>
      </c>
      <c r="K174" s="1371"/>
      <c r="L174" s="1371"/>
      <c r="M174" s="1371"/>
      <c r="N174" s="1371"/>
      <c r="O174" s="1371"/>
      <c r="P174" s="1371"/>
      <c r="Q174" s="1371"/>
      <c r="R174" s="1371"/>
      <c r="S174" s="1371"/>
      <c r="T174" s="1371"/>
      <c r="U174" s="1371"/>
      <c r="V174" s="1371"/>
      <c r="W174" s="1371"/>
      <c r="X174" s="1371"/>
      <c r="Y174" s="1371"/>
      <c r="Z174" s="1371"/>
      <c r="AA174" s="1371"/>
      <c r="AB174" s="1371"/>
      <c r="BB174" t="s">
        <v>1968</v>
      </c>
      <c r="BN174" s="23" t="s">
        <v>216</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c r="V175" s="1332"/>
      <c r="BB175" t="s">
        <v>1936</v>
      </c>
      <c r="BN175" s="23" t="s">
        <v>217</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2078</v>
      </c>
      <c r="T176" s="27" t="s">
        <v>305</v>
      </c>
      <c r="U176" s="1425">
        <v>25</v>
      </c>
      <c r="V176" s="1425"/>
      <c r="W176" s="1" t="s">
        <v>306</v>
      </c>
      <c r="X176" s="1783">
        <v>545</v>
      </c>
      <c r="Y176" s="1783"/>
      <c r="BB176" t="s">
        <v>1969</v>
      </c>
      <c r="BN176" s="23" t="s">
        <v>219</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668</v>
      </c>
      <c r="S177" s="1332"/>
      <c r="BB177" t="s">
        <v>2212</v>
      </c>
      <c r="BN177" s="23" t="s">
        <v>220</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2078</v>
      </c>
      <c r="AE178" s="27" t="s">
        <v>305</v>
      </c>
      <c r="AF178" s="1782"/>
      <c r="AG178" s="1782"/>
      <c r="AH178" s="1" t="s">
        <v>306</v>
      </c>
      <c r="AI178" s="1803"/>
      <c r="AJ178" s="1803"/>
      <c r="AK178" s="1803"/>
      <c r="BB178" t="s">
        <v>2213</v>
      </c>
      <c r="BN178" s="23" t="s">
        <v>221</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2079</v>
      </c>
      <c r="X180" s="1332"/>
      <c r="Y180" s="1332"/>
      <c r="BN180" s="23" t="s">
        <v>224</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575</v>
      </c>
      <c r="C183" s="2" t="s">
        <v>576</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577</v>
      </c>
      <c r="I184" s="1358" t="str">
        <f>H18</f>
        <v>Green Manor</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586</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578</v>
      </c>
      <c r="I185" s="1348" t="s">
        <v>2617</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587</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579</v>
      </c>
      <c r="I189" s="1416" t="s">
        <v>728</v>
      </c>
      <c r="J189" s="1371"/>
      <c r="K189" s="1371"/>
      <c r="L189" s="1371"/>
      <c r="M189" s="1371"/>
      <c r="N189" s="1371"/>
      <c r="O189" s="1371"/>
      <c r="P189" s="1371"/>
      <c r="Q189" t="s">
        <v>581</v>
      </c>
      <c r="T189" s="1371" t="s">
        <v>728</v>
      </c>
      <c r="U189" s="1371"/>
      <c r="V189" s="1371"/>
      <c r="W189" s="1371"/>
      <c r="X189" s="1371"/>
      <c r="Y189" s="1371"/>
      <c r="Z189" s="1371"/>
      <c r="AA189" s="1371"/>
      <c r="AB189" s="1371"/>
      <c r="AC189" s="1371"/>
      <c r="AD189" s="1371"/>
      <c r="AE189" s="1371"/>
      <c r="BC189" t="s">
        <v>307</v>
      </c>
      <c r="BH189" s="3" t="s">
        <v>590</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582</v>
      </c>
      <c r="I190" s="1348">
        <v>92103</v>
      </c>
      <c r="J190" s="1348"/>
      <c r="K190" s="1348"/>
      <c r="L190" s="1348"/>
      <c r="M190" s="1348"/>
      <c r="N190" s="1348"/>
      <c r="O190" t="s">
        <v>584</v>
      </c>
      <c r="T190" s="1789">
        <v>2.0099999999999998</v>
      </c>
      <c r="U190" s="1789"/>
      <c r="V190" s="1789"/>
      <c r="W190" s="1789"/>
      <c r="X190" s="1789"/>
      <c r="Y190" s="1789"/>
      <c r="Z190" s="1789"/>
      <c r="AA190" s="1789"/>
      <c r="AB190" s="1789"/>
      <c r="AC190" s="1789"/>
      <c r="AD190" s="1789"/>
      <c r="AE190" s="1789"/>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461</v>
      </c>
      <c r="N191" s="1802" t="s">
        <v>2618</v>
      </c>
      <c r="O191" s="1802"/>
      <c r="P191" s="1802"/>
      <c r="Q191" s="1802"/>
      <c r="R191" s="1802"/>
      <c r="S191" s="1802"/>
      <c r="T191" s="1802"/>
      <c r="U191" s="1802"/>
      <c r="V191" s="1802"/>
      <c r="W191" s="1802"/>
      <c r="X191" s="1802"/>
      <c r="Y191" s="1802"/>
      <c r="Z191" s="1802"/>
      <c r="AA191" s="1802"/>
      <c r="AB191" s="1802"/>
      <c r="AC191" s="1802"/>
      <c r="AD191" s="1802"/>
      <c r="AE191" s="1802"/>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793" t="s">
        <v>1968</v>
      </c>
      <c r="U193" s="1793"/>
      <c r="V193" s="1793"/>
      <c r="W193" s="1793"/>
      <c r="X193" s="1793"/>
      <c r="Y193" s="1793"/>
      <c r="Z193" s="1793"/>
      <c r="AA193" s="1793"/>
      <c r="AB193" s="1793"/>
      <c r="AC193" s="1793"/>
      <c r="AD193" s="1793"/>
      <c r="AE193" s="1793"/>
      <c r="AF193" s="1793"/>
      <c r="AG193" s="1793"/>
      <c r="AH193" s="1793"/>
      <c r="AI193" s="1793"/>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332" t="s">
        <v>668</v>
      </c>
      <c r="AI194" s="1332"/>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331</v>
      </c>
      <c r="T195" s="1332" t="s">
        <v>544</v>
      </c>
      <c r="U195" s="1332"/>
      <c r="W195" t="s">
        <v>683</v>
      </c>
      <c r="AH195" s="1332">
        <v>50</v>
      </c>
      <c r="AI195" s="1332"/>
      <c r="BC195" t="s">
        <v>1855</v>
      </c>
      <c r="BN195" s="23" t="s">
        <v>242</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2" t="s">
        <v>668</v>
      </c>
      <c r="U196" s="1402"/>
      <c r="W196" t="s">
        <v>684</v>
      </c>
      <c r="AH196" s="1332">
        <v>78</v>
      </c>
      <c r="AI196" s="1332"/>
      <c r="BN196" s="23" t="s">
        <v>243</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169</v>
      </c>
      <c r="T197" s="1402" t="s">
        <v>668</v>
      </c>
      <c r="U197" s="1402"/>
      <c r="W197" t="s">
        <v>685</v>
      </c>
      <c r="AH197" s="1332">
        <v>39</v>
      </c>
      <c r="AI197" s="1332"/>
      <c r="BC197" t="s">
        <v>307</v>
      </c>
      <c r="BN197" s="23" t="s">
        <v>244</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2"/>
      <c r="U198" s="1402"/>
      <c r="V198"/>
      <c r="X198" s="1413" t="s">
        <v>2512</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590</v>
      </c>
      <c r="BD198"/>
      <c r="BN198" s="23" t="s">
        <v>696</v>
      </c>
      <c r="BO198"/>
      <c r="BP198"/>
      <c r="BQ198"/>
      <c r="BR198"/>
      <c r="BS198">
        <v>4</v>
      </c>
      <c r="BT198" t="s">
        <v>191</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874</v>
      </c>
      <c r="BD199"/>
      <c r="BN199" s="23" t="s">
        <v>697</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2513</v>
      </c>
      <c r="T200" s="1332"/>
      <c r="U200" s="1332"/>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801">
        <f>M26</f>
        <v>2737660</v>
      </c>
      <c r="Q204" s="1781"/>
      <c r="R204" s="1781"/>
      <c r="S204" s="1781"/>
      <c r="T204" s="1781"/>
      <c r="U204" s="1781"/>
      <c r="BC204" t="s">
        <v>1062</v>
      </c>
      <c r="BN204" s="23" t="s">
        <v>702</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1" t="s">
        <v>1246</v>
      </c>
      <c r="E205" s="1358"/>
      <c r="F205" s="1358"/>
      <c r="G205" s="1358"/>
      <c r="H205" s="1358"/>
      <c r="I205" s="1358"/>
      <c r="J205" s="1358"/>
      <c r="K205" s="1358"/>
      <c r="L205" s="1358"/>
      <c r="M205" s="1358"/>
      <c r="P205" s="1781">
        <f>M27</f>
        <v>0</v>
      </c>
      <c r="Q205" s="1781"/>
      <c r="R205" s="1781"/>
      <c r="S205" s="1781"/>
      <c r="T205" s="1781"/>
      <c r="U205" s="1781"/>
      <c r="V205" s="28"/>
      <c r="W205" s="3" t="s">
        <v>1719</v>
      </c>
      <c r="Z205" s="1809" t="s">
        <v>1183</v>
      </c>
      <c r="AA205" s="1809"/>
      <c r="AB205" s="1809"/>
      <c r="AC205" s="1809"/>
      <c r="AD205" s="1809"/>
      <c r="AE205" s="1809"/>
      <c r="AF205" s="1809"/>
      <c r="AG205" s="1809"/>
      <c r="AH205" s="1809"/>
      <c r="AI205" s="1809"/>
      <c r="AJ205" s="1809"/>
      <c r="AK205" s="1809"/>
      <c r="AL205" s="1809"/>
      <c r="AM205" s="1809"/>
      <c r="AN205" s="1809"/>
      <c r="AP205" s="1335"/>
      <c r="AQ205" s="1335"/>
      <c r="BC205" t="s">
        <v>609</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17" t="s">
        <v>2619</v>
      </c>
      <c r="E208" s="1417"/>
      <c r="F208" s="1417"/>
      <c r="G208" s="1417"/>
      <c r="H208" s="1417"/>
      <c r="I208" s="1417"/>
      <c r="J208" s="1417"/>
      <c r="K208" s="1417"/>
      <c r="L208" s="1417"/>
      <c r="M208" s="1417"/>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387</v>
      </c>
      <c r="BC210" t="s">
        <v>658</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1039</v>
      </c>
      <c r="E211" s="1417"/>
      <c r="F211" s="1417"/>
      <c r="G211" s="1417"/>
      <c r="H211" s="1417"/>
      <c r="I211" s="1417"/>
      <c r="J211" s="1417"/>
      <c r="K211" s="1417"/>
      <c r="L211" s="1417"/>
      <c r="M211" s="141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332"/>
      <c r="R212" s="1332"/>
      <c r="T212" s="1795">
        <f>IFERROR(Q212/AG440,0)</f>
        <v>0</v>
      </c>
      <c r="U212" s="1796"/>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525</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590</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529</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797">
        <v>62</v>
      </c>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526</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565</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591</v>
      </c>
      <c r="C218" s="2" t="s">
        <v>2232</v>
      </c>
      <c r="D218" s="28"/>
      <c r="AC218" s="2" t="s">
        <v>2461</v>
      </c>
      <c r="BC218" t="s">
        <v>528</v>
      </c>
    </row>
    <row r="219" spans="1:108" ht="12.95" customHeight="1">
      <c r="A219" s="2"/>
      <c r="C219" s="2"/>
      <c r="D219" s="3" t="s">
        <v>2462</v>
      </c>
      <c r="AZ219" s="3"/>
      <c r="BA219" s="3"/>
      <c r="BC219" t="s">
        <v>376</v>
      </c>
    </row>
    <row r="220" spans="1:108" ht="12.95" customHeight="1">
      <c r="A220" s="2"/>
      <c r="C220" s="2"/>
      <c r="D220" s="1417" t="s">
        <v>610</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0" t="s">
        <v>2463</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2" t="s">
        <v>539</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544</v>
      </c>
      <c r="AJ226" s="1332"/>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590</v>
      </c>
      <c r="AJ227" s="1332"/>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590</v>
      </c>
      <c r="AJ228" s="1332"/>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590</v>
      </c>
      <c r="AJ229" s="1332"/>
      <c r="AL229" s="3"/>
      <c r="AM229" s="3"/>
      <c r="AN229" s="3"/>
      <c r="AO229" s="3"/>
      <c r="AP229" s="3"/>
      <c r="AQ229" s="3"/>
      <c r="AR229" s="3"/>
      <c r="AS229" s="3"/>
      <c r="AT229" s="3"/>
      <c r="AU229" s="3"/>
      <c r="AV229" s="3"/>
      <c r="AW229" s="3"/>
      <c r="AX229" s="3"/>
      <c r="AY229" s="3"/>
      <c r="BA229" s="3"/>
      <c r="BB229" s="204" t="s">
        <v>537</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790" t="str">
        <f>H16</f>
        <v>Green Manor Housing Partners,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537</v>
      </c>
      <c r="BG232" s="241">
        <f>IF(AND(AND($M$249="nonprofit",$M$257="nonprofit",$M$265="for profit")),2,0)</f>
        <v>0</v>
      </c>
    </row>
    <row r="233" spans="1:59" ht="12.95" customHeight="1">
      <c r="D233" s="4" t="s">
        <v>85</v>
      </c>
      <c r="E233" s="4"/>
      <c r="F233" s="4"/>
      <c r="G233" s="4"/>
      <c r="H233" s="4"/>
      <c r="I233" s="4"/>
      <c r="J233" s="4"/>
      <c r="K233" s="4"/>
      <c r="M233" s="1416" t="s">
        <v>2620</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537</v>
      </c>
      <c r="BG233" s="241">
        <f>IF(AND(AND($M$249="nonprofit",$M$257="for profit",$M$265="nonprofit")),2,0)</f>
        <v>0</v>
      </c>
    </row>
    <row r="234" spans="1:59" ht="12.95" customHeight="1">
      <c r="D234" s="4" t="s">
        <v>579</v>
      </c>
      <c r="E234" s="4"/>
      <c r="M234" s="1416" t="s">
        <v>728</v>
      </c>
      <c r="N234" s="1417"/>
      <c r="O234" s="1417"/>
      <c r="P234" s="1417"/>
      <c r="Q234" s="1417"/>
      <c r="R234" s="1417"/>
      <c r="S234" s="1417"/>
      <c r="T234" s="1417"/>
      <c r="V234" s="33" t="s">
        <v>86</v>
      </c>
      <c r="W234" s="1545" t="s">
        <v>2621</v>
      </c>
      <c r="X234" s="1436"/>
      <c r="Y234" s="4" t="s">
        <v>582</v>
      </c>
      <c r="AC234" s="1417">
        <v>92108</v>
      </c>
      <c r="AD234" s="1417"/>
      <c r="AE234" s="1417"/>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16" t="s">
        <v>2614</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694" t="s">
        <v>2622</v>
      </c>
      <c r="N236" s="1346"/>
      <c r="O236" s="1346"/>
      <c r="P236" s="1346"/>
      <c r="Q236" s="1346"/>
      <c r="R236" s="1346"/>
      <c r="S236" s="4" t="s">
        <v>206</v>
      </c>
      <c r="T236" s="4"/>
      <c r="U236" s="1436"/>
      <c r="V236" s="1436"/>
      <c r="W236" s="1436"/>
      <c r="X236" s="4" t="s">
        <v>89</v>
      </c>
      <c r="Z236" s="1346"/>
      <c r="AA236" s="1346"/>
      <c r="AB236" s="1346"/>
      <c r="AC236" s="1346"/>
      <c r="AD236" s="1346"/>
      <c r="AE236" s="1346"/>
      <c r="AU236" s="4"/>
      <c r="AV236" s="4"/>
      <c r="AW236" s="4"/>
      <c r="AX236" s="4"/>
      <c r="AY236" s="4"/>
      <c r="AZ236" s="4"/>
      <c r="BB236" s="204" t="s">
        <v>536</v>
      </c>
      <c r="BG236" s="241">
        <f>IF(AND(AND($M$249="nonprofit",$M$257="nonprofit",$M$265="(select one)")),1,0)</f>
        <v>1</v>
      </c>
    </row>
    <row r="237" spans="1:59" ht="12.95" customHeight="1">
      <c r="D237" s="4" t="s">
        <v>90</v>
      </c>
      <c r="E237" s="4"/>
      <c r="F237" s="4"/>
      <c r="M237" s="1784" t="s">
        <v>2623</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48" t="s">
        <v>527</v>
      </c>
      <c r="N238" s="1348"/>
      <c r="O238" s="1348"/>
      <c r="P238" s="1348"/>
      <c r="Q238" s="1348"/>
      <c r="R238" s="1348"/>
      <c r="S238" s="1348"/>
      <c r="T238" s="1348"/>
      <c r="U238" s="204" t="s">
        <v>905</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420" t="s">
        <v>2624</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2626</v>
      </c>
      <c r="AG243" s="1420"/>
      <c r="AH243" s="1420"/>
      <c r="AI243" s="1420"/>
      <c r="AJ243" s="1420"/>
      <c r="AK243" s="1420"/>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2625</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1178</v>
      </c>
      <c r="AL244" s="4"/>
      <c r="AM244" s="4"/>
      <c r="AN244" s="4"/>
      <c r="AO244" s="4"/>
      <c r="AP244" s="4"/>
      <c r="AQ244" s="4"/>
      <c r="AR244" s="4"/>
      <c r="AS244" s="4"/>
      <c r="AT244" s="4"/>
      <c r="BB244" t="s">
        <v>307</v>
      </c>
      <c r="BG244">
        <v>1</v>
      </c>
      <c r="BH244" t="s">
        <v>533</v>
      </c>
    </row>
    <row r="245" spans="1:67" ht="12.95" customHeight="1">
      <c r="A245" s="19"/>
      <c r="B245" s="4"/>
      <c r="C245" s="4"/>
      <c r="D245" s="4" t="s">
        <v>579</v>
      </c>
      <c r="E245" s="4"/>
      <c r="M245" s="1416" t="s">
        <v>2627</v>
      </c>
      <c r="N245" s="1417"/>
      <c r="O245" s="1417"/>
      <c r="P245" s="1417"/>
      <c r="Q245" s="1417"/>
      <c r="R245" s="1417"/>
      <c r="S245" s="1417"/>
      <c r="T245" s="1417"/>
      <c r="V245" s="33" t="s">
        <v>86</v>
      </c>
      <c r="W245" s="1545" t="s">
        <v>2621</v>
      </c>
      <c r="X245" s="1436"/>
      <c r="Y245" s="4" t="s">
        <v>582</v>
      </c>
      <c r="AC245" s="1417">
        <v>92660</v>
      </c>
      <c r="AD245" s="1417"/>
      <c r="AE245" s="1417"/>
      <c r="AF245" s="3" t="s">
        <v>1179</v>
      </c>
      <c r="AU245" s="4"/>
      <c r="AV245" s="4"/>
      <c r="AW245" s="4"/>
      <c r="AX245" s="4"/>
      <c r="AY245" s="4"/>
      <c r="BB245" s="4" t="s">
        <v>280</v>
      </c>
      <c r="BG245">
        <v>2</v>
      </c>
      <c r="BH245" t="s">
        <v>565</v>
      </c>
      <c r="BO245" s="239" t="str">
        <f>VLOOKUP(BG243,BG244:BH247,2,FALSE)</f>
        <v>Nonprofit</v>
      </c>
    </row>
    <row r="246" spans="1:67" ht="12.95" customHeight="1">
      <c r="A246" s="19"/>
      <c r="B246" s="4"/>
      <c r="C246" s="4"/>
      <c r="D246" s="4" t="s">
        <v>87</v>
      </c>
      <c r="E246" s="4"/>
      <c r="F246" s="4"/>
      <c r="G246" s="4"/>
      <c r="H246" s="4"/>
      <c r="I246" s="4"/>
      <c r="J246" s="4"/>
      <c r="K246" s="4"/>
      <c r="L246" s="19"/>
      <c r="M246" s="1416" t="s">
        <v>2628</v>
      </c>
      <c r="N246" s="1417"/>
      <c r="O246" s="1417"/>
      <c r="P246" s="1417"/>
      <c r="Q246" s="1417"/>
      <c r="R246" s="1417"/>
      <c r="S246" s="1417"/>
      <c r="T246" s="1417"/>
      <c r="U246" s="1417"/>
      <c r="V246" s="1417"/>
      <c r="W246" s="1417"/>
      <c r="X246" s="1417"/>
      <c r="Y246" s="1417"/>
      <c r="Z246" s="1417"/>
      <c r="AA246" s="1417"/>
      <c r="AB246" s="1417"/>
      <c r="AC246" s="1417"/>
      <c r="AD246" s="1417"/>
      <c r="AE246" s="1417"/>
      <c r="AH246" s="1778">
        <v>0.01</v>
      </c>
      <c r="AI246" s="1778"/>
      <c r="AJ246" s="1778"/>
      <c r="AK246" s="1778"/>
      <c r="AL246" s="4"/>
      <c r="AM246" s="4"/>
      <c r="AN246" s="4"/>
      <c r="AO246" s="4"/>
      <c r="AP246" s="4"/>
      <c r="AQ246" s="4"/>
      <c r="AR246" s="4"/>
      <c r="AS246" s="4"/>
      <c r="AT246" s="4"/>
      <c r="BB246" s="4" t="s">
        <v>173</v>
      </c>
      <c r="BG246">
        <v>3</v>
      </c>
      <c r="BH246" t="s">
        <v>535</v>
      </c>
      <c r="BN246" s="34"/>
    </row>
    <row r="247" spans="1:67" ht="12.95" customHeight="1">
      <c r="A247" s="19"/>
      <c r="B247" s="4"/>
      <c r="C247" s="4"/>
      <c r="D247" s="4" t="s">
        <v>88</v>
      </c>
      <c r="E247" s="4"/>
      <c r="F247" s="4"/>
      <c r="M247" s="1694" t="s">
        <v>2629</v>
      </c>
      <c r="N247" s="1346"/>
      <c r="O247" s="1346"/>
      <c r="P247" s="1346"/>
      <c r="Q247" s="1346"/>
      <c r="R247" s="1346"/>
      <c r="S247" s="4" t="s">
        <v>206</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
        <v>2630</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48" t="s">
        <v>533</v>
      </c>
      <c r="N249" s="1348"/>
      <c r="O249" s="1348"/>
      <c r="P249" s="1348"/>
      <c r="Q249" s="1348"/>
      <c r="R249" s="1348"/>
      <c r="S249" s="1348"/>
      <c r="T249" s="1348"/>
      <c r="U249" s="204" t="s">
        <v>905</v>
      </c>
      <c r="V249" s="204"/>
      <c r="W249" s="204"/>
      <c r="X249" s="204"/>
      <c r="Y249" s="204"/>
      <c r="Z249" s="204"/>
      <c r="AA249" s="1776" t="str">
        <f>+M232</f>
        <v>Green Manor Housing Partners, LP</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19" t="s">
        <v>2631</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2632</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6" t="s">
        <v>2633</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1178</v>
      </c>
      <c r="AL252" s="4"/>
      <c r="AM252" s="4"/>
      <c r="AN252" s="4"/>
      <c r="AO252" s="4"/>
      <c r="AP252" s="4"/>
      <c r="AQ252" s="4"/>
      <c r="AR252" s="4"/>
      <c r="AS252" s="4"/>
      <c r="AT252" s="4"/>
      <c r="BN252" s="34"/>
    </row>
    <row r="253" spans="1:67" ht="12.95" customHeight="1">
      <c r="A253" s="19"/>
      <c r="B253" s="4"/>
      <c r="C253" s="4"/>
      <c r="D253" s="4" t="s">
        <v>579</v>
      </c>
      <c r="E253" s="4"/>
      <c r="M253" s="1416" t="s">
        <v>728</v>
      </c>
      <c r="N253" s="1417"/>
      <c r="O253" s="1417"/>
      <c r="P253" s="1417"/>
      <c r="Q253" s="1417"/>
      <c r="R253" s="1417"/>
      <c r="S253" s="1417"/>
      <c r="T253" s="1417"/>
      <c r="V253" s="33" t="s">
        <v>86</v>
      </c>
      <c r="W253" s="1545" t="s">
        <v>2621</v>
      </c>
      <c r="X253" s="1436"/>
      <c r="Y253" s="4" t="s">
        <v>582</v>
      </c>
      <c r="AC253" s="1417">
        <v>92103</v>
      </c>
      <c r="AD253" s="1417"/>
      <c r="AE253" s="1417"/>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6" t="s">
        <v>2634</v>
      </c>
      <c r="N254" s="1417"/>
      <c r="O254" s="1417"/>
      <c r="P254" s="1417"/>
      <c r="Q254" s="1417"/>
      <c r="R254" s="1417"/>
      <c r="S254" s="1417"/>
      <c r="T254" s="1417"/>
      <c r="U254" s="1417"/>
      <c r="V254" s="1417"/>
      <c r="W254" s="1417"/>
      <c r="X254" s="1417"/>
      <c r="Y254" s="1417"/>
      <c r="Z254" s="1417"/>
      <c r="AA254" s="1417"/>
      <c r="AB254" s="1417"/>
      <c r="AC254" s="1417"/>
      <c r="AD254" s="1417"/>
      <c r="AE254" s="1417"/>
      <c r="AH254" s="1778">
        <v>0.01</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t="s">
        <v>2635</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48" t="s">
        <v>533</v>
      </c>
      <c r="N257" s="1348"/>
      <c r="O257" s="1348"/>
      <c r="P257" s="1348"/>
      <c r="Q257" s="1348"/>
      <c r="R257" s="1348"/>
      <c r="S257" s="1348"/>
      <c r="T257" s="1348"/>
      <c r="U257" s="204" t="s">
        <v>905</v>
      </c>
      <c r="V257" s="204"/>
      <c r="W257" s="204"/>
      <c r="X257" s="204"/>
      <c r="Y257" s="204"/>
      <c r="Z257" s="204"/>
      <c r="AA257" s="1776" t="str">
        <f>+M232</f>
        <v>Green Manor Housing Partners, LP</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417"/>
      <c r="N261" s="1417"/>
      <c r="O261" s="1417"/>
      <c r="P261" s="1417"/>
      <c r="Q261" s="1417"/>
      <c r="R261" s="1417"/>
      <c r="S261" s="1417"/>
      <c r="T261" s="1417"/>
      <c r="V261" s="33" t="s">
        <v>86</v>
      </c>
      <c r="W261" s="1436"/>
      <c r="X261" s="1436"/>
      <c r="Y261" s="4" t="s">
        <v>582</v>
      </c>
      <c r="AC261" s="1417"/>
      <c r="AD261" s="1417"/>
      <c r="AE261" s="1417"/>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4"/>
      <c r="AB264" s="1804"/>
      <c r="AC264" s="1804"/>
      <c r="AD264" s="1804"/>
      <c r="AE264" s="1804"/>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48" t="s">
        <v>307</v>
      </c>
      <c r="N265" s="1348"/>
      <c r="O265" s="1348"/>
      <c r="P265" s="1348"/>
      <c r="Q265" s="1348"/>
      <c r="R265" s="1348"/>
      <c r="S265" s="1348"/>
      <c r="T265" s="1348"/>
      <c r="U265" s="204" t="s">
        <v>905</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295</v>
      </c>
      <c r="D267" s="4"/>
      <c r="E267" s="4"/>
      <c r="F267" s="4"/>
      <c r="G267" s="4"/>
      <c r="H267" s="4"/>
      <c r="I267" s="4"/>
      <c r="J267" s="4"/>
      <c r="K267" s="4"/>
      <c r="L267" s="4"/>
      <c r="M267" s="35"/>
      <c r="N267" s="35"/>
      <c r="O267" s="35"/>
      <c r="P267" s="35"/>
      <c r="Q267" s="35"/>
      <c r="T267" s="1779" t="str">
        <f>IFERROR(BO245,"")</f>
        <v>Nonprofit</v>
      </c>
      <c r="U267" s="1779"/>
      <c r="V267" s="1779"/>
      <c r="W267" s="1779"/>
      <c r="X267" s="1779"/>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172</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17" t="s">
        <v>280</v>
      </c>
      <c r="E270" s="1417"/>
      <c r="F270" s="1417"/>
      <c r="G270" s="1417"/>
      <c r="H270" s="1417"/>
      <c r="J270" t="s">
        <v>279</v>
      </c>
      <c r="X270" s="1690"/>
      <c r="Y270" s="1690"/>
      <c r="Z270" s="1690"/>
      <c r="AA270" s="1690"/>
      <c r="AB270" s="1690"/>
      <c r="AC270" s="169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9" t="s">
        <v>2636</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2637</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579</v>
      </c>
      <c r="E276" s="4"/>
      <c r="L276" s="1416" t="s">
        <v>728</v>
      </c>
      <c r="M276" s="1417"/>
      <c r="N276" s="1417"/>
      <c r="O276" s="1417"/>
      <c r="P276" s="1417"/>
      <c r="Q276" s="1417"/>
      <c r="R276" s="1417"/>
      <c r="S276" s="1417"/>
      <c r="U276" s="33" t="s">
        <v>86</v>
      </c>
      <c r="V276" s="1545" t="s">
        <v>2621</v>
      </c>
      <c r="W276" s="1436"/>
      <c r="X276" s="4" t="s">
        <v>582</v>
      </c>
      <c r="AB276" s="1417">
        <v>92108</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6" t="s">
        <v>2614</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694" t="s">
        <v>2622</v>
      </c>
      <c r="M278" s="1346"/>
      <c r="N278" s="1346"/>
      <c r="O278" s="1346"/>
      <c r="P278" s="1346"/>
      <c r="Q278" s="1346"/>
      <c r="R278" s="4" t="s">
        <v>206</v>
      </c>
      <c r="S278" s="4"/>
      <c r="T278" s="1436"/>
      <c r="U278" s="1436"/>
      <c r="V278" s="1436"/>
      <c r="W278" s="4" t="s">
        <v>89</v>
      </c>
      <c r="Y278" s="1346"/>
      <c r="Z278" s="1346"/>
      <c r="AA278" s="1346"/>
      <c r="AB278" s="1346"/>
      <c r="AC278" s="1346"/>
      <c r="AD278" s="1346"/>
    </row>
    <row r="279" spans="1:51" ht="12.95" customHeight="1">
      <c r="D279" s="4" t="s">
        <v>90</v>
      </c>
      <c r="E279" s="4"/>
      <c r="F279" s="4"/>
      <c r="L279" s="1784" t="s">
        <v>2623</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622</v>
      </c>
      <c r="E280" s="3"/>
      <c r="F280" s="3"/>
      <c r="G280" s="3"/>
      <c r="H280" s="3"/>
      <c r="I280" s="3"/>
      <c r="L280" s="1545" t="s">
        <v>2638</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422" t="s">
        <v>540</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371" t="s">
        <v>2636</v>
      </c>
      <c r="I287" s="1371"/>
      <c r="J287" s="1371"/>
      <c r="K287" s="1371"/>
      <c r="L287" s="1371"/>
      <c r="M287" s="1371"/>
      <c r="N287" s="1371"/>
      <c r="O287" s="1371"/>
      <c r="P287" s="1371"/>
      <c r="Q287" s="1371"/>
      <c r="R287" s="1371"/>
      <c r="T287" s="3" t="s">
        <v>566</v>
      </c>
      <c r="V287" s="3"/>
      <c r="W287" s="3"/>
      <c r="X287" s="3"/>
      <c r="Y287" s="3"/>
      <c r="AA287" s="1371" t="s">
        <v>2640</v>
      </c>
      <c r="AB287" s="1371"/>
      <c r="AC287" s="1371"/>
      <c r="AD287" s="1371"/>
      <c r="AE287" s="1371"/>
      <c r="AF287" s="1371"/>
      <c r="AG287" s="1371"/>
      <c r="AH287" s="1371"/>
      <c r="AI287" s="1371"/>
      <c r="AJ287" s="1371"/>
      <c r="AK287" s="1371"/>
    </row>
    <row r="288" spans="1:51" ht="12.95" customHeight="1">
      <c r="B288" s="3" t="s">
        <v>470</v>
      </c>
      <c r="C288" s="3"/>
      <c r="D288" s="3"/>
      <c r="E288" s="3"/>
      <c r="F288" s="3"/>
      <c r="H288" s="1348" t="s">
        <v>2620</v>
      </c>
      <c r="I288" s="1348"/>
      <c r="J288" s="1348"/>
      <c r="K288" s="1348"/>
      <c r="L288" s="1348"/>
      <c r="M288" s="1348"/>
      <c r="N288" s="1348"/>
      <c r="O288" s="1348"/>
      <c r="P288" s="1348"/>
      <c r="Q288" s="1348"/>
      <c r="R288" s="1348"/>
      <c r="T288" s="3" t="s">
        <v>470</v>
      </c>
      <c r="V288" s="3"/>
      <c r="W288" s="3"/>
      <c r="X288" s="3"/>
      <c r="Y288" s="3"/>
      <c r="AA288" s="1348" t="s">
        <v>2641</v>
      </c>
      <c r="AB288" s="1348"/>
      <c r="AC288" s="1348"/>
      <c r="AD288" s="1348"/>
      <c r="AE288" s="1348"/>
      <c r="AF288" s="1348"/>
      <c r="AG288" s="1348"/>
      <c r="AH288" s="1348"/>
      <c r="AI288" s="1348"/>
      <c r="AJ288" s="1348"/>
      <c r="AK288" s="1348"/>
    </row>
    <row r="289" spans="2:37" ht="12.95" customHeight="1">
      <c r="B289" s="3" t="s">
        <v>471</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2642</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2614</v>
      </c>
      <c r="I290" s="1348"/>
      <c r="J290" s="1348"/>
      <c r="K290" s="1348"/>
      <c r="L290" s="1348"/>
      <c r="M290" s="1348"/>
      <c r="N290" s="1348"/>
      <c r="O290" s="1348"/>
      <c r="P290" s="1348"/>
      <c r="Q290" s="1348"/>
      <c r="R290" s="1348"/>
      <c r="T290" s="3" t="s">
        <v>87</v>
      </c>
      <c r="V290" s="3"/>
      <c r="W290" s="3"/>
      <c r="X290" s="3"/>
      <c r="Y290" s="3"/>
      <c r="AA290" s="1348" t="s">
        <v>2643</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769" t="s">
        <v>2622</v>
      </c>
      <c r="I291" s="1423"/>
      <c r="J291" s="1423"/>
      <c r="K291" s="1423"/>
      <c r="L291" s="1423"/>
      <c r="M291" s="1423"/>
      <c r="N291" s="4" t="s">
        <v>206</v>
      </c>
      <c r="O291" s="4"/>
      <c r="P291" s="1417"/>
      <c r="Q291" s="1417"/>
      <c r="R291" s="1417"/>
      <c r="S291" s="3"/>
      <c r="T291" s="3" t="s">
        <v>88</v>
      </c>
      <c r="V291" s="3"/>
      <c r="W291" s="3"/>
      <c r="X291" s="3"/>
      <c r="Y291" s="3"/>
      <c r="AA291" s="1769" t="s">
        <v>2644</v>
      </c>
      <c r="AB291" s="1423"/>
      <c r="AC291" s="1423"/>
      <c r="AD291" s="1423"/>
      <c r="AE291" s="1423"/>
      <c r="AF291" s="1423"/>
      <c r="AG291" s="4" t="s">
        <v>206</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2623</v>
      </c>
      <c r="I293" s="1348"/>
      <c r="J293" s="1348"/>
      <c r="K293" s="1348"/>
      <c r="L293" s="1348"/>
      <c r="M293" s="1348"/>
      <c r="N293" s="1371"/>
      <c r="O293" s="1371"/>
      <c r="P293" s="1371"/>
      <c r="Q293" s="1371"/>
      <c r="R293" s="1371"/>
      <c r="S293" s="3"/>
      <c r="T293" s="3" t="s">
        <v>76</v>
      </c>
      <c r="V293" s="3"/>
      <c r="W293" s="3"/>
      <c r="X293" s="3"/>
      <c r="Y293" s="3"/>
      <c r="AA293" s="1348" t="s">
        <v>2645</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2646</v>
      </c>
      <c r="I295" s="1371"/>
      <c r="J295" s="1371"/>
      <c r="K295" s="1371"/>
      <c r="L295" s="1371"/>
      <c r="M295" s="1371"/>
      <c r="N295" s="1371"/>
      <c r="O295" s="1371"/>
      <c r="P295" s="1371"/>
      <c r="Q295" s="1371"/>
      <c r="R295" s="1371"/>
      <c r="T295" s="3" t="s">
        <v>364</v>
      </c>
      <c r="V295" s="3"/>
      <c r="W295" s="3"/>
      <c r="X295" s="3"/>
      <c r="Y295" s="3"/>
      <c r="AA295" s="1371" t="s">
        <v>2650</v>
      </c>
      <c r="AB295" s="1371"/>
      <c r="AC295" s="1371"/>
      <c r="AD295" s="1371"/>
      <c r="AE295" s="1371"/>
      <c r="AF295" s="1371"/>
      <c r="AG295" s="1371"/>
      <c r="AH295" s="1371"/>
      <c r="AI295" s="1371"/>
      <c r="AJ295" s="1371"/>
      <c r="AK295" s="1371"/>
    </row>
    <row r="296" spans="2:37" ht="12.95" customHeight="1">
      <c r="B296" s="3" t="s">
        <v>470</v>
      </c>
      <c r="C296" s="3"/>
      <c r="D296" s="3"/>
      <c r="E296" s="3"/>
      <c r="F296" s="3"/>
      <c r="H296" s="1348" t="s">
        <v>2647</v>
      </c>
      <c r="I296" s="1348"/>
      <c r="J296" s="1348"/>
      <c r="K296" s="1348"/>
      <c r="L296" s="1348"/>
      <c r="M296" s="1348"/>
      <c r="N296" s="1348"/>
      <c r="O296" s="1348"/>
      <c r="P296" s="1348"/>
      <c r="Q296" s="1348"/>
      <c r="R296" s="1348"/>
      <c r="T296" s="3" t="s">
        <v>470</v>
      </c>
      <c r="V296" s="3"/>
      <c r="W296" s="3"/>
      <c r="X296" s="3"/>
      <c r="Y296" s="3"/>
      <c r="AA296" s="1348" t="s">
        <v>2651</v>
      </c>
      <c r="AB296" s="1348"/>
      <c r="AC296" s="1348"/>
      <c r="AD296" s="1348"/>
      <c r="AE296" s="1348"/>
      <c r="AF296" s="1348"/>
      <c r="AG296" s="1348"/>
      <c r="AH296" s="1348"/>
      <c r="AI296" s="1348"/>
      <c r="AJ296" s="1348"/>
      <c r="AK296" s="1348"/>
    </row>
    <row r="297" spans="2:37" ht="12.95" customHeight="1">
      <c r="B297" s="3" t="s">
        <v>471</v>
      </c>
      <c r="C297" s="3"/>
      <c r="D297" s="3"/>
      <c r="E297" s="3"/>
      <c r="F297" s="3"/>
      <c r="H297" s="1348" t="s">
        <v>2648</v>
      </c>
      <c r="I297" s="1348"/>
      <c r="J297" s="1348"/>
      <c r="K297" s="1348"/>
      <c r="L297" s="1348"/>
      <c r="M297" s="1348"/>
      <c r="N297" s="1348"/>
      <c r="O297" s="1348"/>
      <c r="P297" s="1348"/>
      <c r="Q297" s="1348"/>
      <c r="R297" s="1348"/>
      <c r="T297" s="3" t="s">
        <v>75</v>
      </c>
      <c r="V297" s="3"/>
      <c r="W297" s="3"/>
      <c r="X297" s="3"/>
      <c r="Y297" s="3"/>
      <c r="AA297" s="1348" t="s">
        <v>2652</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2649</v>
      </c>
      <c r="I298" s="1348"/>
      <c r="J298" s="1348"/>
      <c r="K298" s="1348"/>
      <c r="L298" s="1348"/>
      <c r="M298" s="1348"/>
      <c r="N298" s="1348"/>
      <c r="O298" s="1348"/>
      <c r="P298" s="1348"/>
      <c r="Q298" s="1348"/>
      <c r="R298" s="1348"/>
      <c r="T298" s="3" t="s">
        <v>87</v>
      </c>
      <c r="V298" s="3"/>
      <c r="W298" s="3"/>
      <c r="X298" s="3"/>
      <c r="Y298" s="3"/>
      <c r="AA298" s="1348" t="s">
        <v>2653</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69" t="s">
        <v>2728</v>
      </c>
      <c r="I299" s="1423"/>
      <c r="J299" s="1423"/>
      <c r="K299" s="1423"/>
      <c r="L299" s="1423"/>
      <c r="M299" s="1423"/>
      <c r="N299" s="4" t="s">
        <v>206</v>
      </c>
      <c r="O299" s="4"/>
      <c r="P299" s="1417"/>
      <c r="Q299" s="1417"/>
      <c r="R299" s="1417"/>
      <c r="S299" s="3"/>
      <c r="T299" s="3" t="s">
        <v>88</v>
      </c>
      <c r="V299" s="3"/>
      <c r="W299" s="3"/>
      <c r="X299" s="3"/>
      <c r="Y299" s="3"/>
      <c r="AA299" s="1769" t="s">
        <v>2730</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2729</v>
      </c>
      <c r="I301" s="1348"/>
      <c r="J301" s="1348"/>
      <c r="K301" s="1348"/>
      <c r="L301" s="1348"/>
      <c r="M301" s="1348"/>
      <c r="N301" s="1371"/>
      <c r="O301" s="1371"/>
      <c r="P301" s="1371"/>
      <c r="Q301" s="1371"/>
      <c r="R301" s="1371"/>
      <c r="S301" s="3"/>
      <c r="T301" s="3" t="s">
        <v>76</v>
      </c>
      <c r="V301" s="3"/>
      <c r="W301" s="3"/>
      <c r="X301" s="3"/>
      <c r="Y301" s="3"/>
      <c r="AA301" s="1348" t="s">
        <v>2731</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2654</v>
      </c>
      <c r="I303" s="1371"/>
      <c r="J303" s="1371"/>
      <c r="K303" s="1371"/>
      <c r="L303" s="1371"/>
      <c r="M303" s="1371"/>
      <c r="N303" s="1371"/>
      <c r="O303" s="1371"/>
      <c r="P303" s="1371"/>
      <c r="Q303" s="1371"/>
      <c r="R303" s="1371"/>
      <c r="T303" s="4" t="s">
        <v>877</v>
      </c>
      <c r="V303" s="3"/>
      <c r="W303" s="3"/>
      <c r="X303" s="3"/>
      <c r="Y303" s="3"/>
      <c r="AA303" s="1371" t="s">
        <v>2658</v>
      </c>
      <c r="AB303" s="1371"/>
      <c r="AC303" s="1371"/>
      <c r="AD303" s="1371"/>
      <c r="AE303" s="1371"/>
      <c r="AF303" s="1371"/>
      <c r="AG303" s="1371"/>
      <c r="AH303" s="1371"/>
      <c r="AI303" s="1371"/>
      <c r="AJ303" s="1371"/>
      <c r="AK303" s="1371"/>
    </row>
    <row r="304" spans="2:37" ht="12.95" customHeight="1">
      <c r="B304" s="3" t="s">
        <v>470</v>
      </c>
      <c r="C304" s="3"/>
      <c r="D304" s="3"/>
      <c r="E304" s="3"/>
      <c r="F304" s="3"/>
      <c r="H304" s="1348" t="s">
        <v>2655</v>
      </c>
      <c r="I304" s="1348"/>
      <c r="J304" s="1348"/>
      <c r="K304" s="1348"/>
      <c r="L304" s="1348"/>
      <c r="M304" s="1348"/>
      <c r="N304" s="1348"/>
      <c r="O304" s="1348"/>
      <c r="P304" s="1348"/>
      <c r="Q304" s="1348"/>
      <c r="R304" s="1348"/>
      <c r="T304" s="3" t="s">
        <v>470</v>
      </c>
      <c r="V304" s="3"/>
      <c r="W304" s="3"/>
      <c r="X304" s="3"/>
      <c r="Y304" s="3"/>
      <c r="AA304" s="1348" t="s">
        <v>2659</v>
      </c>
      <c r="AB304" s="1348"/>
      <c r="AC304" s="1348"/>
      <c r="AD304" s="1348"/>
      <c r="AE304" s="1348"/>
      <c r="AF304" s="1348"/>
      <c r="AG304" s="1348"/>
      <c r="AH304" s="1348"/>
      <c r="AI304" s="1348"/>
      <c r="AJ304" s="1348"/>
      <c r="AK304" s="1348"/>
    </row>
    <row r="305" spans="2:37" ht="12.95" customHeight="1">
      <c r="B305" s="3" t="s">
        <v>471</v>
      </c>
      <c r="C305" s="3"/>
      <c r="D305" s="3"/>
      <c r="E305" s="3"/>
      <c r="F305" s="3"/>
      <c r="H305" s="1348" t="s">
        <v>2656</v>
      </c>
      <c r="I305" s="1348"/>
      <c r="J305" s="1348"/>
      <c r="K305" s="1348"/>
      <c r="L305" s="1348"/>
      <c r="M305" s="1348"/>
      <c r="N305" s="1348"/>
      <c r="O305" s="1348"/>
      <c r="P305" s="1348"/>
      <c r="Q305" s="1348"/>
      <c r="R305" s="1348"/>
      <c r="T305" s="3" t="s">
        <v>75</v>
      </c>
      <c r="V305" s="3"/>
      <c r="W305" s="3"/>
      <c r="X305" s="3"/>
      <c r="Y305" s="3"/>
      <c r="AA305" s="1348" t="s">
        <v>2660</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2657</v>
      </c>
      <c r="I306" s="1348"/>
      <c r="J306" s="1348"/>
      <c r="K306" s="1348"/>
      <c r="L306" s="1348"/>
      <c r="M306" s="1348"/>
      <c r="N306" s="1348"/>
      <c r="O306" s="1348"/>
      <c r="P306" s="1348"/>
      <c r="Q306" s="1348"/>
      <c r="R306" s="1348"/>
      <c r="T306" s="3" t="s">
        <v>87</v>
      </c>
      <c r="V306" s="3"/>
      <c r="W306" s="3"/>
      <c r="X306" s="3"/>
      <c r="Y306" s="3"/>
      <c r="AA306" s="1348" t="s">
        <v>2661</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769" t="s">
        <v>2734</v>
      </c>
      <c r="I307" s="1423"/>
      <c r="J307" s="1423"/>
      <c r="K307" s="1423"/>
      <c r="L307" s="1423"/>
      <c r="M307" s="1423"/>
      <c r="N307" s="4" t="s">
        <v>206</v>
      </c>
      <c r="O307" s="4"/>
      <c r="P307" s="1417"/>
      <c r="Q307" s="1417"/>
      <c r="R307" s="1417"/>
      <c r="S307" s="3"/>
      <c r="T307" s="3" t="s">
        <v>88</v>
      </c>
      <c r="V307" s="3"/>
      <c r="W307" s="3"/>
      <c r="X307" s="3"/>
      <c r="Y307" s="3"/>
      <c r="AA307" s="1769" t="s">
        <v>2732</v>
      </c>
      <c r="AB307" s="1423"/>
      <c r="AC307" s="1423"/>
      <c r="AD307" s="1423"/>
      <c r="AE307" s="1423"/>
      <c r="AF307" s="1423"/>
      <c r="AG307" s="4" t="s">
        <v>206</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2735</v>
      </c>
      <c r="I309" s="1348"/>
      <c r="J309" s="1348"/>
      <c r="K309" s="1348"/>
      <c r="L309" s="1348"/>
      <c r="M309" s="1348"/>
      <c r="N309" s="1371"/>
      <c r="O309" s="1371"/>
      <c r="P309" s="1371"/>
      <c r="Q309" s="1371"/>
      <c r="R309" s="1371"/>
      <c r="S309" s="3"/>
      <c r="T309" s="3" t="s">
        <v>76</v>
      </c>
      <c r="V309" s="3"/>
      <c r="W309" s="3"/>
      <c r="X309" s="3"/>
      <c r="Y309" s="3"/>
      <c r="AA309" s="1348" t="s">
        <v>2733</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1" t="s">
        <v>2654</v>
      </c>
      <c r="I311" s="1371"/>
      <c r="J311" s="1371"/>
      <c r="K311" s="1371"/>
      <c r="L311" s="1371"/>
      <c r="M311" s="1371"/>
      <c r="N311" s="1371"/>
      <c r="O311" s="1371"/>
      <c r="P311" s="1371"/>
      <c r="Q311" s="1371"/>
      <c r="R311" s="1371"/>
      <c r="S311" s="3"/>
      <c r="T311" s="3" t="s">
        <v>365</v>
      </c>
      <c r="V311" s="3"/>
      <c r="W311" s="3"/>
      <c r="X311" s="3"/>
      <c r="Y311" s="3"/>
      <c r="AA311" s="1371" t="s">
        <v>2662</v>
      </c>
      <c r="AB311" s="1371"/>
      <c r="AC311" s="1371"/>
      <c r="AD311" s="1371"/>
      <c r="AE311" s="1371"/>
      <c r="AF311" s="1371"/>
      <c r="AG311" s="1371"/>
      <c r="AH311" s="1371"/>
      <c r="AI311" s="1371"/>
      <c r="AJ311" s="1371"/>
      <c r="AK311" s="1371"/>
    </row>
    <row r="312" spans="2:37" ht="12.95" customHeight="1">
      <c r="B312" s="3" t="s">
        <v>470</v>
      </c>
      <c r="C312" s="3"/>
      <c r="D312" s="3"/>
      <c r="E312" s="3"/>
      <c r="F312" s="3"/>
      <c r="H312" s="1348" t="s">
        <v>2655</v>
      </c>
      <c r="I312" s="1348"/>
      <c r="J312" s="1348"/>
      <c r="K312" s="1348"/>
      <c r="L312" s="1348"/>
      <c r="M312" s="1348"/>
      <c r="N312" s="1348"/>
      <c r="O312" s="1348"/>
      <c r="P312" s="1348"/>
      <c r="Q312" s="1348"/>
      <c r="R312" s="1348"/>
      <c r="S312" s="3"/>
      <c r="T312" s="3" t="s">
        <v>470</v>
      </c>
      <c r="V312" s="3"/>
      <c r="W312" s="3"/>
      <c r="X312" s="3"/>
      <c r="Y312" s="3"/>
      <c r="AA312" s="1348" t="s">
        <v>2663</v>
      </c>
      <c r="AB312" s="1348"/>
      <c r="AC312" s="1348"/>
      <c r="AD312" s="1348"/>
      <c r="AE312" s="1348"/>
      <c r="AF312" s="1348"/>
      <c r="AG312" s="1348"/>
      <c r="AH312" s="1348"/>
      <c r="AI312" s="1348"/>
      <c r="AJ312" s="1348"/>
      <c r="AK312" s="1348"/>
    </row>
    <row r="313" spans="2:37" ht="12.95" customHeight="1">
      <c r="B313" s="3" t="s">
        <v>471</v>
      </c>
      <c r="C313" s="3"/>
      <c r="D313" s="3"/>
      <c r="E313" s="3"/>
      <c r="F313" s="3"/>
      <c r="H313" s="1348" t="s">
        <v>2656</v>
      </c>
      <c r="I313" s="1348"/>
      <c r="J313" s="1348"/>
      <c r="K313" s="1348"/>
      <c r="L313" s="1348"/>
      <c r="M313" s="1348"/>
      <c r="N313" s="1348"/>
      <c r="O313" s="1348"/>
      <c r="P313" s="1348"/>
      <c r="Q313" s="1348"/>
      <c r="R313" s="1348"/>
      <c r="S313" s="3"/>
      <c r="T313" s="3" t="s">
        <v>75</v>
      </c>
      <c r="V313" s="3"/>
      <c r="W313" s="3"/>
      <c r="X313" s="3"/>
      <c r="Y313" s="3"/>
      <c r="AA313" s="1348" t="s">
        <v>2664</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2657</v>
      </c>
      <c r="I314" s="1348"/>
      <c r="J314" s="1348"/>
      <c r="K314" s="1348"/>
      <c r="L314" s="1348"/>
      <c r="M314" s="1348"/>
      <c r="N314" s="1348"/>
      <c r="O314" s="1348"/>
      <c r="P314" s="1348"/>
      <c r="Q314" s="1348"/>
      <c r="R314" s="1348"/>
      <c r="S314" s="3"/>
      <c r="T314" s="3" t="s">
        <v>87</v>
      </c>
      <c r="V314" s="3"/>
      <c r="W314" s="3"/>
      <c r="X314" s="3"/>
      <c r="Y314" s="3"/>
      <c r="AA314" s="1348" t="s">
        <v>2665</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t="str">
        <f>+H307</f>
        <v>916-751-2900</v>
      </c>
      <c r="I315" s="1423"/>
      <c r="J315" s="1423"/>
      <c r="K315" s="1423"/>
      <c r="L315" s="1423"/>
      <c r="M315" s="1423"/>
      <c r="N315" s="4" t="s">
        <v>206</v>
      </c>
      <c r="O315" s="4"/>
      <c r="P315" s="1417"/>
      <c r="Q315" s="1417"/>
      <c r="R315" s="1417"/>
      <c r="S315" s="3"/>
      <c r="T315" s="3" t="s">
        <v>88</v>
      </c>
      <c r="V315" s="3"/>
      <c r="W315" s="3"/>
      <c r="X315" s="3"/>
      <c r="Y315" s="3"/>
      <c r="AA315" s="1769" t="s">
        <v>2704</v>
      </c>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tr">
        <f>+H309</f>
        <v>Jgierth@pccllp.com</v>
      </c>
      <c r="I317" s="1348"/>
      <c r="J317" s="1348"/>
      <c r="K317" s="1348"/>
      <c r="L317" s="1348"/>
      <c r="M317" s="1348"/>
      <c r="N317" s="1371"/>
      <c r="O317" s="1371"/>
      <c r="P317" s="1371"/>
      <c r="Q317" s="1371"/>
      <c r="R317" s="1371"/>
      <c r="S317" s="3"/>
      <c r="T317" s="3" t="s">
        <v>76</v>
      </c>
      <c r="V317" s="3"/>
      <c r="W317" s="3"/>
      <c r="X317" s="3"/>
      <c r="Y317" s="3"/>
      <c r="AA317" s="1348" t="s">
        <v>2741</v>
      </c>
      <c r="AB317" s="1348"/>
      <c r="AC317" s="1348"/>
      <c r="AD317" s="1348"/>
      <c r="AE317" s="1348"/>
      <c r="AF317" s="1348"/>
      <c r="AG317" s="1371"/>
      <c r="AH317" s="1371"/>
      <c r="AI317" s="1371"/>
      <c r="AJ317" s="1371"/>
      <c r="AK317" s="1371"/>
    </row>
    <row r="318" spans="2:37" ht="12.95" customHeight="1"/>
    <row r="319" spans="2:37" ht="12.95" customHeight="1">
      <c r="B319" s="4" t="s">
        <v>907</v>
      </c>
      <c r="C319" s="3"/>
      <c r="D319" s="3"/>
      <c r="E319" s="3"/>
      <c r="F319" s="3"/>
      <c r="H319" s="1371"/>
      <c r="I319" s="1371"/>
      <c r="J319" s="1371"/>
      <c r="K319" s="1371"/>
      <c r="L319" s="1371"/>
      <c r="M319" s="1371"/>
      <c r="N319" s="1371"/>
      <c r="O319" s="1371"/>
      <c r="P319" s="1371"/>
      <c r="Q319" s="1371"/>
      <c r="R319" s="1371"/>
      <c r="T319" s="3" t="s">
        <v>366</v>
      </c>
      <c r="V319" s="3"/>
      <c r="W319" s="3"/>
      <c r="X319" s="3"/>
      <c r="Y319" s="3"/>
      <c r="AA319" s="1371" t="s">
        <v>2666</v>
      </c>
      <c r="AB319" s="1371"/>
      <c r="AC319" s="1371"/>
      <c r="AD319" s="1371"/>
      <c r="AE319" s="1371"/>
      <c r="AF319" s="1371"/>
      <c r="AG319" s="1371"/>
      <c r="AH319" s="1371"/>
      <c r="AI319" s="1371"/>
      <c r="AJ319" s="1371"/>
      <c r="AK319" s="1371"/>
    </row>
    <row r="320" spans="2:37" ht="12.95" customHeight="1">
      <c r="B320" s="3" t="s">
        <v>470</v>
      </c>
      <c r="C320" s="3"/>
      <c r="D320" s="3"/>
      <c r="E320" s="3"/>
      <c r="F320" s="3"/>
      <c r="H320" s="1348"/>
      <c r="I320" s="1348"/>
      <c r="J320" s="1348"/>
      <c r="K320" s="1348"/>
      <c r="L320" s="1348"/>
      <c r="M320" s="1348"/>
      <c r="N320" s="1348"/>
      <c r="O320" s="1348"/>
      <c r="P320" s="1348"/>
      <c r="Q320" s="1348"/>
      <c r="R320" s="1348"/>
      <c r="T320" s="3" t="s">
        <v>470</v>
      </c>
      <c r="V320" s="3"/>
      <c r="W320" s="3"/>
      <c r="X320" s="3"/>
      <c r="Y320" s="3"/>
      <c r="AA320" s="1348" t="s">
        <v>2667</v>
      </c>
      <c r="AB320" s="1348"/>
      <c r="AC320" s="1348"/>
      <c r="AD320" s="1348"/>
      <c r="AE320" s="1348"/>
      <c r="AF320" s="1348"/>
      <c r="AG320" s="1348"/>
      <c r="AH320" s="1348"/>
      <c r="AI320" s="1348"/>
      <c r="AJ320" s="1348"/>
      <c r="AK320" s="1348"/>
    </row>
    <row r="321" spans="2:37" ht="12.95" customHeight="1">
      <c r="B321" s="3" t="s">
        <v>471</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2668</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2669</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206</v>
      </c>
      <c r="O323" s="4"/>
      <c r="P323" s="1417"/>
      <c r="Q323" s="1417"/>
      <c r="R323" s="1417"/>
      <c r="S323" s="3"/>
      <c r="T323" s="3" t="s">
        <v>88</v>
      </c>
      <c r="V323" s="3"/>
      <c r="W323" s="3"/>
      <c r="X323" s="3"/>
      <c r="Y323" s="3"/>
      <c r="AA323" s="1769" t="s">
        <v>2679</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2680</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2666</v>
      </c>
      <c r="I327" s="1371"/>
      <c r="J327" s="1371"/>
      <c r="K327" s="1371"/>
      <c r="L327" s="1371"/>
      <c r="M327" s="1371"/>
      <c r="N327" s="1371"/>
      <c r="O327" s="1371"/>
      <c r="P327" s="1371"/>
      <c r="Q327" s="1371"/>
      <c r="R327" s="1371"/>
      <c r="T327" s="3" t="s">
        <v>368</v>
      </c>
      <c r="V327" s="3"/>
      <c r="W327" s="3"/>
      <c r="X327" s="3"/>
      <c r="Y327" s="3"/>
      <c r="AA327" s="1371" t="s">
        <v>2670</v>
      </c>
      <c r="AB327" s="1371"/>
      <c r="AC327" s="1371"/>
      <c r="AD327" s="1371"/>
      <c r="AE327" s="1371"/>
      <c r="AF327" s="1371"/>
      <c r="AG327" s="1371"/>
      <c r="AH327" s="1371"/>
      <c r="AI327" s="1371"/>
      <c r="AJ327" s="1371"/>
      <c r="AK327" s="1371"/>
    </row>
    <row r="328" spans="2:37" ht="12.95" customHeight="1">
      <c r="B328" s="3" t="s">
        <v>470</v>
      </c>
      <c r="C328" s="3"/>
      <c r="D328" s="3"/>
      <c r="E328" s="3"/>
      <c r="F328" s="3"/>
      <c r="H328" s="1348" t="s">
        <v>2667</v>
      </c>
      <c r="I328" s="1348"/>
      <c r="J328" s="1348"/>
      <c r="K328" s="1348"/>
      <c r="L328" s="1348"/>
      <c r="M328" s="1348"/>
      <c r="N328" s="1348"/>
      <c r="O328" s="1348"/>
      <c r="P328" s="1348"/>
      <c r="Q328" s="1348"/>
      <c r="R328" s="1348"/>
      <c r="T328" s="3" t="s">
        <v>470</v>
      </c>
      <c r="V328" s="3"/>
      <c r="W328" s="3"/>
      <c r="X328" s="3"/>
      <c r="Y328" s="3"/>
      <c r="AA328" s="1348" t="s">
        <v>2671</v>
      </c>
      <c r="AB328" s="1348"/>
      <c r="AC328" s="1348"/>
      <c r="AD328" s="1348"/>
      <c r="AE328" s="1348"/>
      <c r="AF328" s="1348"/>
      <c r="AG328" s="1348"/>
      <c r="AH328" s="1348"/>
      <c r="AI328" s="1348"/>
      <c r="AJ328" s="1348"/>
      <c r="AK328" s="1348"/>
    </row>
    <row r="329" spans="2:37" ht="12.95" customHeight="1">
      <c r="B329" s="3" t="s">
        <v>471</v>
      </c>
      <c r="C329" s="3"/>
      <c r="D329" s="3"/>
      <c r="E329" s="3"/>
      <c r="F329" s="3"/>
      <c r="H329" s="1348" t="s">
        <v>2668</v>
      </c>
      <c r="I329" s="1348"/>
      <c r="J329" s="1348"/>
      <c r="K329" s="1348"/>
      <c r="L329" s="1348"/>
      <c r="M329" s="1348"/>
      <c r="N329" s="1348"/>
      <c r="O329" s="1348"/>
      <c r="P329" s="1348"/>
      <c r="Q329" s="1348"/>
      <c r="R329" s="1348"/>
      <c r="T329" s="3" t="s">
        <v>75</v>
      </c>
      <c r="V329" s="3"/>
      <c r="W329" s="3"/>
      <c r="X329" s="3"/>
      <c r="Y329" s="3"/>
      <c r="AA329" s="1348" t="s">
        <v>2672</v>
      </c>
      <c r="AB329" s="1348"/>
      <c r="AC329" s="1348"/>
      <c r="AD329" s="1348"/>
      <c r="AE329" s="1348"/>
      <c r="AF329" s="1348"/>
      <c r="AG329" s="1348"/>
      <c r="AH329" s="1348"/>
      <c r="AI329" s="1348"/>
      <c r="AJ329" s="1348"/>
      <c r="AK329" s="1348"/>
    </row>
    <row r="330" spans="2:37" ht="12.95" customHeight="1">
      <c r="B330" s="3" t="s">
        <v>87</v>
      </c>
      <c r="C330" s="3"/>
      <c r="D330" s="3"/>
      <c r="E330" s="3"/>
      <c r="F330" s="3"/>
      <c r="H330" s="1348" t="s">
        <v>2669</v>
      </c>
      <c r="I330" s="1348"/>
      <c r="J330" s="1348"/>
      <c r="K330" s="1348"/>
      <c r="L330" s="1348"/>
      <c r="M330" s="1348"/>
      <c r="N330" s="1348"/>
      <c r="O330" s="1348"/>
      <c r="P330" s="1348"/>
      <c r="Q330" s="1348"/>
      <c r="R330" s="1348"/>
      <c r="T330" s="3" t="s">
        <v>87</v>
      </c>
      <c r="V330" s="3"/>
      <c r="W330" s="3"/>
      <c r="X330" s="3"/>
      <c r="Y330" s="3"/>
      <c r="AA330" s="1348" t="s">
        <v>2673</v>
      </c>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769" t="s">
        <v>2681</v>
      </c>
      <c r="I331" s="1423"/>
      <c r="J331" s="1423"/>
      <c r="K331" s="1423"/>
      <c r="L331" s="1423"/>
      <c r="M331" s="1423"/>
      <c r="N331" s="4" t="s">
        <v>206</v>
      </c>
      <c r="O331" s="4"/>
      <c r="P331" s="1417"/>
      <c r="Q331" s="1417"/>
      <c r="R331" s="1417"/>
      <c r="S331" s="3"/>
      <c r="T331" s="3" t="s">
        <v>88</v>
      </c>
      <c r="V331" s="3"/>
      <c r="W331" s="3"/>
      <c r="X331" s="3"/>
      <c r="Y331" s="3"/>
      <c r="AA331" s="1769" t="s">
        <v>2682</v>
      </c>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2680</v>
      </c>
      <c r="I333" s="1348"/>
      <c r="J333" s="1348"/>
      <c r="K333" s="1348"/>
      <c r="L333" s="1348"/>
      <c r="M333" s="1348"/>
      <c r="N333" s="1371"/>
      <c r="O333" s="1371"/>
      <c r="P333" s="1371"/>
      <c r="Q333" s="1371"/>
      <c r="R333" s="1371"/>
      <c r="S333" s="3"/>
      <c r="T333" s="3" t="s">
        <v>76</v>
      </c>
      <c r="V333" s="3"/>
      <c r="W333" s="3"/>
      <c r="X333" s="3"/>
      <c r="Y333" s="3"/>
      <c r="AA333" s="1348" t="s">
        <v>2683</v>
      </c>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1" t="s">
        <v>2742</v>
      </c>
      <c r="I335" s="1371"/>
      <c r="J335" s="1371"/>
      <c r="K335" s="1371"/>
      <c r="L335" s="1371"/>
      <c r="M335" s="1371"/>
      <c r="N335" s="1371"/>
      <c r="O335" s="1371"/>
      <c r="P335" s="1371"/>
      <c r="Q335" s="1371"/>
      <c r="R335" s="1371"/>
      <c r="T335" s="204" t="s">
        <v>885</v>
      </c>
      <c r="V335" s="3"/>
      <c r="W335" s="3"/>
      <c r="X335" s="3"/>
      <c r="Y335" s="3"/>
      <c r="AA335" s="1371" t="s">
        <v>2674</v>
      </c>
      <c r="AB335" s="1371"/>
      <c r="AC335" s="1371"/>
      <c r="AD335" s="1371"/>
      <c r="AE335" s="1371"/>
      <c r="AF335" s="1371"/>
      <c r="AG335" s="1371"/>
      <c r="AH335" s="1371"/>
      <c r="AI335" s="1371"/>
      <c r="AJ335" s="1371"/>
      <c r="AK335" s="1371"/>
    </row>
    <row r="336" spans="2:37" ht="12.95" customHeight="1">
      <c r="B336" s="3" t="s">
        <v>470</v>
      </c>
      <c r="C336" s="3"/>
      <c r="D336" s="3"/>
      <c r="E336" s="3"/>
      <c r="F336" s="3"/>
      <c r="H336" s="1348" t="s">
        <v>2736</v>
      </c>
      <c r="I336" s="1348"/>
      <c r="J336" s="1348"/>
      <c r="K336" s="1348"/>
      <c r="L336" s="1348"/>
      <c r="M336" s="1348"/>
      <c r="N336" s="1348"/>
      <c r="O336" s="1348"/>
      <c r="P336" s="1348"/>
      <c r="Q336" s="1348"/>
      <c r="R336" s="1348"/>
      <c r="T336" s="3" t="s">
        <v>470</v>
      </c>
      <c r="V336" s="3"/>
      <c r="W336" s="3"/>
      <c r="X336" s="3"/>
      <c r="Y336" s="3"/>
      <c r="AA336" s="1348" t="s">
        <v>2675</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2737</v>
      </c>
      <c r="I337" s="1348"/>
      <c r="J337" s="1348"/>
      <c r="K337" s="1348"/>
      <c r="L337" s="1348"/>
      <c r="M337" s="1348"/>
      <c r="N337" s="1348"/>
      <c r="O337" s="1348"/>
      <c r="P337" s="1348"/>
      <c r="Q337" s="1348"/>
      <c r="R337" s="1348"/>
      <c r="T337" s="3" t="s">
        <v>75</v>
      </c>
      <c r="V337" s="3"/>
      <c r="W337" s="3"/>
      <c r="X337" s="3"/>
      <c r="Y337" s="3"/>
      <c r="AA337" s="1348" t="s">
        <v>2676</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2738</v>
      </c>
      <c r="I338" s="1348"/>
      <c r="J338" s="1348"/>
      <c r="K338" s="1348"/>
      <c r="L338" s="1348"/>
      <c r="M338" s="1348"/>
      <c r="N338" s="1348"/>
      <c r="O338" s="1348"/>
      <c r="P338" s="1348"/>
      <c r="Q338" s="1348"/>
      <c r="R338" s="1348"/>
      <c r="T338" s="3" t="s">
        <v>87</v>
      </c>
      <c r="V338" s="3"/>
      <c r="W338" s="3"/>
      <c r="X338" s="3"/>
      <c r="Y338" s="3"/>
      <c r="AA338" s="1348" t="s">
        <v>2677</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69" t="s">
        <v>2739</v>
      </c>
      <c r="I339" s="1423"/>
      <c r="J339" s="1423"/>
      <c r="K339" s="1423"/>
      <c r="L339" s="1423"/>
      <c r="M339" s="1423"/>
      <c r="N339" s="4" t="s">
        <v>206</v>
      </c>
      <c r="O339" s="4"/>
      <c r="P339" s="1417"/>
      <c r="Q339" s="1417"/>
      <c r="R339" s="1417"/>
      <c r="S339" s="3"/>
      <c r="T339" s="3" t="s">
        <v>88</v>
      </c>
      <c r="V339" s="3"/>
      <c r="W339" s="3"/>
      <c r="X339" s="3"/>
      <c r="Y339" s="3"/>
      <c r="AA339" s="1423"/>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2740</v>
      </c>
      <c r="I341" s="1348"/>
      <c r="J341" s="1348"/>
      <c r="K341" s="1348"/>
      <c r="L341" s="1348"/>
      <c r="M341" s="1348"/>
      <c r="N341" s="1371"/>
      <c r="O341" s="1371"/>
      <c r="P341" s="1371"/>
      <c r="Q341" s="1371"/>
      <c r="R341" s="1371"/>
      <c r="S341" s="3"/>
      <c r="T341" s="3" t="s">
        <v>76</v>
      </c>
      <c r="V341" s="3"/>
      <c r="W341" s="3"/>
      <c r="X341" s="3"/>
      <c r="Y341" s="3"/>
      <c r="AA341" s="1348" t="s">
        <v>2678</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371"/>
      <c r="Q343" s="1371"/>
      <c r="R343" s="1371"/>
      <c r="S343" s="1371"/>
      <c r="T343" s="1371"/>
      <c r="U343" s="1371"/>
      <c r="V343" s="1371"/>
      <c r="W343" s="1371"/>
      <c r="X343" s="1371"/>
      <c r="Y343" s="1371"/>
      <c r="Z343" s="1371"/>
      <c r="AA343" s="1371"/>
      <c r="AB343" s="1371"/>
      <c r="AC343" s="1371"/>
      <c r="AD343" s="1371"/>
      <c r="AE343" s="1371"/>
      <c r="BN343" t="s">
        <v>668</v>
      </c>
    </row>
    <row r="344" spans="1:66" ht="12.95" customHeight="1">
      <c r="B344" s="4"/>
      <c r="C344" s="4"/>
      <c r="D344" s="4"/>
      <c r="E344" s="4"/>
      <c r="F344" s="4"/>
      <c r="I344" s="4" t="s">
        <v>470</v>
      </c>
      <c r="P344" s="1348"/>
      <c r="Q344" s="1348"/>
      <c r="R344" s="1348"/>
      <c r="S344" s="1348"/>
      <c r="T344" s="1348"/>
      <c r="U344" s="1348"/>
      <c r="V344" s="1348"/>
      <c r="W344" s="1348"/>
      <c r="X344" s="1348"/>
      <c r="Y344" s="1348"/>
      <c r="Z344" s="1348"/>
      <c r="AA344" s="1348"/>
      <c r="AB344" s="1348"/>
      <c r="AC344" s="1348"/>
      <c r="AD344" s="1348"/>
      <c r="AE344" s="1348"/>
      <c r="BN344" t="s">
        <v>544</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206</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541</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781</v>
      </c>
    </row>
    <row r="355" spans="1:46" ht="12.95" customHeight="1">
      <c r="D355" s="3" t="s">
        <v>2097</v>
      </c>
      <c r="M355" s="1332" t="s">
        <v>590</v>
      </c>
      <c r="N355" s="1332"/>
      <c r="P355" t="s">
        <v>1649</v>
      </c>
      <c r="AJ355" s="1332" t="s">
        <v>590</v>
      </c>
      <c r="AK355" s="1332"/>
    </row>
    <row r="356" spans="1:46" ht="12.95" customHeight="1">
      <c r="D356" s="3" t="s">
        <v>1638</v>
      </c>
      <c r="M356" s="1332" t="s">
        <v>590</v>
      </c>
      <c r="N356" s="1332"/>
      <c r="P356" s="3" t="s">
        <v>1718</v>
      </c>
      <c r="AJ356" s="1446"/>
      <c r="AK356" s="1446"/>
    </row>
    <row r="357" spans="1:46" ht="12.95" customHeight="1">
      <c r="D357" s="3" t="s">
        <v>703</v>
      </c>
      <c r="M357" s="1332" t="s">
        <v>590</v>
      </c>
      <c r="N357" s="1332"/>
      <c r="P357" t="s">
        <v>1648</v>
      </c>
      <c r="AJ357" s="1332" t="s">
        <v>668</v>
      </c>
      <c r="AK357" s="1332"/>
    </row>
    <row r="358" spans="1:46" ht="12.95" customHeight="1">
      <c r="D358" s="3" t="s">
        <v>704</v>
      </c>
      <c r="M358" s="1332" t="s">
        <v>544</v>
      </c>
      <c r="N358" s="1332"/>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544</v>
      </c>
      <c r="O363" s="1332"/>
      <c r="P363" s="40"/>
      <c r="Q363" s="40"/>
      <c r="R363" s="40"/>
      <c r="S363" s="40"/>
      <c r="T363" s="40"/>
      <c r="U363" s="40"/>
      <c r="V363" s="40"/>
      <c r="W363" s="40"/>
      <c r="X363" s="40"/>
      <c r="Y363" s="40"/>
      <c r="Z363" s="40"/>
      <c r="AC363" s="40"/>
      <c r="AD363" s="40"/>
      <c r="AE363" s="40"/>
    </row>
    <row r="364" spans="1:46" ht="12.95" customHeight="1">
      <c r="E364" t="s">
        <v>370</v>
      </c>
      <c r="Y364" s="1332" t="s">
        <v>590</v>
      </c>
      <c r="Z364" s="1332"/>
    </row>
    <row r="365" spans="1:46" ht="12.95" customHeight="1">
      <c r="D365" s="4" t="s">
        <v>977</v>
      </c>
      <c r="Q365" s="1371" t="s">
        <v>2684</v>
      </c>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590</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705</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447</v>
      </c>
      <c r="F370" s="4"/>
      <c r="G370" s="4"/>
      <c r="H370" s="4"/>
      <c r="I370" s="4"/>
      <c r="J370" s="4"/>
      <c r="K370" s="4"/>
      <c r="L370" s="4"/>
      <c r="N370" s="1662"/>
      <c r="O370" s="1662"/>
      <c r="P370" s="1662"/>
      <c r="Q370" s="1662"/>
      <c r="R370" s="4"/>
      <c r="U370" s="4" t="s">
        <v>448</v>
      </c>
      <c r="V370" s="4"/>
      <c r="W370" s="4"/>
      <c r="X370" s="4"/>
      <c r="Y370" s="4"/>
      <c r="Z370" s="4"/>
      <c r="AA370" s="4"/>
      <c r="AB370" s="4"/>
      <c r="AC370" s="1662"/>
      <c r="AD370" s="1662"/>
      <c r="AE370" s="1662"/>
      <c r="AF370" s="1662"/>
    </row>
    <row r="371" spans="1:34" ht="12.95" customHeight="1">
      <c r="E371" s="4" t="s">
        <v>449</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305</v>
      </c>
      <c r="S377" s="1815"/>
      <c r="T377" s="1815"/>
      <c r="U377" s="1" t="s">
        <v>306</v>
      </c>
      <c r="V377" s="1815"/>
      <c r="W377" s="1815"/>
      <c r="Y377" t="s">
        <v>2078</v>
      </c>
      <c r="AC377" s="27" t="s">
        <v>305</v>
      </c>
      <c r="AD377" s="1815"/>
      <c r="AE377" s="1815"/>
      <c r="AF377" s="1" t="s">
        <v>306</v>
      </c>
      <c r="AG377" s="1815"/>
      <c r="AH377" s="1815"/>
    </row>
    <row r="378" spans="1:34" ht="12.95" customHeight="1">
      <c r="E378" s="4" t="s">
        <v>986</v>
      </c>
      <c r="F378" s="4"/>
      <c r="G378" s="4"/>
      <c r="H378" s="4"/>
      <c r="I378" s="4"/>
      <c r="J378" s="4"/>
      <c r="K378" s="4"/>
      <c r="L378" s="4"/>
      <c r="N378" s="1815"/>
      <c r="O378" s="1815"/>
      <c r="P378" s="1815"/>
    </row>
    <row r="379" spans="1:34" ht="12.95" customHeight="1">
      <c r="E379" s="204" t="s">
        <v>2084</v>
      </c>
      <c r="F379" s="4"/>
      <c r="G379" s="4"/>
      <c r="H379" s="4"/>
      <c r="I379" s="4"/>
      <c r="J379" s="4"/>
      <c r="K379" s="4"/>
      <c r="L379" s="4"/>
      <c r="AG379" s="1803" t="s">
        <v>590</v>
      </c>
      <c r="AH379" s="1803"/>
    </row>
    <row r="380" spans="1:34" ht="12.95" customHeight="1">
      <c r="E380" s="4"/>
      <c r="F380" s="4"/>
      <c r="G380" s="4" t="s">
        <v>2085</v>
      </c>
      <c r="H380" s="4"/>
      <c r="I380" s="4"/>
      <c r="J380" s="4"/>
      <c r="K380" s="4"/>
      <c r="L380" s="4"/>
      <c r="AG380" s="1803" t="s">
        <v>590</v>
      </c>
      <c r="AH380" s="1803"/>
    </row>
    <row r="381" spans="1:34" ht="12.95" customHeight="1">
      <c r="E381" s="4"/>
      <c r="F381" s="4"/>
      <c r="G381" s="320" t="s">
        <v>987</v>
      </c>
      <c r="H381" s="4"/>
      <c r="I381" s="4"/>
      <c r="J381" s="4"/>
      <c r="K381" s="4"/>
      <c r="L381" s="4"/>
      <c r="V381" s="1332" t="s">
        <v>590</v>
      </c>
      <c r="W381" s="1332"/>
      <c r="Y381" s="22" t="s">
        <v>979</v>
      </c>
    </row>
    <row r="382" spans="1:34" ht="12.95" customHeight="1">
      <c r="E382" s="4" t="s">
        <v>980</v>
      </c>
      <c r="F382" s="4"/>
      <c r="G382" s="4"/>
      <c r="H382" s="4"/>
      <c r="I382" s="4"/>
      <c r="J382" s="4"/>
      <c r="K382" s="4"/>
      <c r="L382" s="4"/>
      <c r="V382" s="1332" t="s">
        <v>590</v>
      </c>
      <c r="W382" s="1332"/>
      <c r="Y382" s="4" t="s">
        <v>981</v>
      </c>
    </row>
    <row r="383" spans="1:34" ht="12.95" customHeight="1"/>
    <row r="384" spans="1:34" ht="12.95" customHeight="1">
      <c r="A384" s="2" t="s">
        <v>78</v>
      </c>
      <c r="B384" s="2"/>
    </row>
    <row r="385" spans="4:36" ht="12.95" customHeight="1">
      <c r="D385" t="s">
        <v>427</v>
      </c>
      <c r="J385" s="1371" t="s">
        <v>2612</v>
      </c>
      <c r="K385" s="1371"/>
      <c r="L385" s="1371"/>
      <c r="M385" s="1371"/>
      <c r="N385" s="1371"/>
      <c r="O385" s="1371"/>
      <c r="P385" s="1371"/>
      <c r="Q385" s="1371"/>
      <c r="R385" s="1371"/>
      <c r="S385" s="1371"/>
      <c r="T385" s="1371"/>
      <c r="U385" s="1371"/>
      <c r="V385" s="8" t="s">
        <v>83</v>
      </c>
      <c r="W385" s="8"/>
      <c r="X385" s="8"/>
      <c r="Y385" s="8"/>
      <c r="Z385" s="8"/>
      <c r="AA385" s="8"/>
      <c r="AB385" s="8"/>
      <c r="AC385" s="1371" t="s">
        <v>2634</v>
      </c>
      <c r="AD385" s="1371"/>
      <c r="AE385" s="1371"/>
      <c r="AF385" s="1371"/>
      <c r="AG385" s="1371"/>
      <c r="AH385" s="1371"/>
      <c r="AI385" s="1371"/>
      <c r="AJ385" s="1371"/>
    </row>
    <row r="386" spans="4:36" ht="12.95" customHeight="1">
      <c r="D386" s="3" t="s">
        <v>1181</v>
      </c>
      <c r="J386" s="1348"/>
      <c r="K386" s="1348"/>
      <c r="L386" s="1348"/>
      <c r="M386" s="1348"/>
      <c r="N386" s="1348"/>
      <c r="O386" s="1348"/>
      <c r="P386" s="1348"/>
      <c r="Q386" s="1348"/>
      <c r="R386" s="1348"/>
      <c r="S386" s="1348"/>
      <c r="T386" s="1348"/>
      <c r="U386" s="1348"/>
      <c r="V386" s="3" t="s">
        <v>1181</v>
      </c>
      <c r="W386" s="8"/>
      <c r="X386" s="8"/>
      <c r="Y386" s="8"/>
      <c r="Z386" s="8"/>
      <c r="AA386" s="8"/>
      <c r="AB386" s="8"/>
      <c r="AC386" s="1371"/>
      <c r="AD386" s="1371"/>
      <c r="AE386" s="1371"/>
      <c r="AF386" s="1371"/>
      <c r="AG386" s="1371"/>
      <c r="AH386" s="1371"/>
      <c r="AI386" s="1371"/>
      <c r="AJ386" s="1371"/>
    </row>
    <row r="387" spans="4:36" ht="12.95" customHeight="1">
      <c r="D387" s="3" t="s">
        <v>440</v>
      </c>
      <c r="J387" s="1348"/>
      <c r="K387" s="1348"/>
      <c r="L387" s="1348"/>
      <c r="M387" s="1348"/>
      <c r="N387" s="1348"/>
      <c r="O387" s="1348"/>
      <c r="P387" s="1348"/>
      <c r="Q387" s="1348"/>
      <c r="R387" s="1348"/>
      <c r="S387" s="1348"/>
      <c r="T387" s="1348"/>
      <c r="U387" s="1348"/>
      <c r="V387" s="3" t="s">
        <v>440</v>
      </c>
      <c r="W387" s="8"/>
      <c r="X387" s="8"/>
      <c r="Y387" s="8"/>
      <c r="Z387" s="8"/>
      <c r="AA387" s="8"/>
      <c r="AB387" s="8"/>
      <c r="AC387" s="1371"/>
      <c r="AD387" s="1371"/>
      <c r="AE387" s="1371"/>
      <c r="AF387" s="1371"/>
      <c r="AG387" s="1371"/>
      <c r="AH387" s="1371"/>
      <c r="AI387" s="1371"/>
      <c r="AJ387" s="1371"/>
    </row>
    <row r="388" spans="4:36" ht="12.95" customHeight="1">
      <c r="D388" t="s">
        <v>1177</v>
      </c>
      <c r="J388" s="1402" t="s">
        <v>2685</v>
      </c>
      <c r="K388" s="1402"/>
      <c r="L388" s="1402"/>
      <c r="M388" s="1402"/>
      <c r="N388" s="1402"/>
      <c r="O388" s="1402"/>
      <c r="P388" s="1402"/>
      <c r="Q388" s="1402"/>
      <c r="R388" s="1402"/>
      <c r="S388" s="1402"/>
      <c r="T388" s="1402"/>
      <c r="U388" s="1402"/>
      <c r="V388" s="1371" t="s">
        <v>2686</v>
      </c>
      <c r="W388" s="1371"/>
      <c r="X388" s="1371"/>
      <c r="Y388" s="1371"/>
      <c r="Z388" s="1371"/>
      <c r="AA388" s="1371"/>
      <c r="AB388" s="1371"/>
      <c r="AC388" s="1371"/>
      <c r="AD388" s="1371"/>
      <c r="AE388" s="1371"/>
      <c r="AF388" s="1371"/>
      <c r="AG388" s="1371"/>
      <c r="AH388" s="1371"/>
      <c r="AI388" s="1371"/>
      <c r="AJ388" s="1371"/>
    </row>
    <row r="389" spans="4:36" ht="12.95" customHeight="1">
      <c r="D389" t="s">
        <v>4</v>
      </c>
      <c r="Q389" s="1751">
        <v>45420</v>
      </c>
      <c r="R389" s="1751"/>
      <c r="S389" s="1751"/>
      <c r="T389" s="1751"/>
      <c r="U389" s="1751"/>
      <c r="V389" t="s">
        <v>309</v>
      </c>
      <c r="AI389" s="1332" t="s">
        <v>668</v>
      </c>
      <c r="AJ389" s="1332"/>
    </row>
    <row r="390" spans="4:36" ht="12.95" customHeight="1">
      <c r="D390" t="s">
        <v>5</v>
      </c>
      <c r="Q390" s="1533"/>
      <c r="R390" s="1819"/>
      <c r="S390" s="1819"/>
      <c r="T390" s="1819"/>
      <c r="U390" s="1819"/>
      <c r="W390" s="21" t="s">
        <v>74</v>
      </c>
      <c r="AG390" s="1817"/>
      <c r="AH390" s="1817"/>
      <c r="AI390" s="1817"/>
      <c r="AJ390" s="1817"/>
    </row>
    <row r="391" spans="4:36" ht="12.95" customHeight="1">
      <c r="D391" t="s">
        <v>426</v>
      </c>
      <c r="Q391" s="1828">
        <v>53000000</v>
      </c>
      <c r="R391" s="1828"/>
      <c r="S391" s="1828"/>
      <c r="T391" s="1828"/>
      <c r="U391" s="1828"/>
      <c r="V391" s="3" t="s">
        <v>1180</v>
      </c>
      <c r="AG391" s="1818">
        <v>45597</v>
      </c>
      <c r="AH391" s="1818"/>
      <c r="AI391" s="1818"/>
      <c r="AJ391" s="1818"/>
    </row>
    <row r="392" spans="4:36" ht="12.95" customHeight="1">
      <c r="D392" t="s">
        <v>88</v>
      </c>
      <c r="I392" s="1423"/>
      <c r="J392" s="1423"/>
      <c r="K392" s="1423"/>
      <c r="L392" s="1423"/>
      <c r="M392" s="1423"/>
      <c r="N392" s="1423"/>
      <c r="Q392" s="4" t="s">
        <v>206</v>
      </c>
      <c r="S392" s="1827"/>
      <c r="T392" s="1827"/>
      <c r="U392" s="1827"/>
      <c r="V392" t="s">
        <v>73</v>
      </c>
      <c r="AI392" s="1332" t="s">
        <v>668</v>
      </c>
      <c r="AJ392" s="1332"/>
    </row>
    <row r="393" spans="4:36" ht="12.95" customHeight="1">
      <c r="D393" t="s">
        <v>310</v>
      </c>
      <c r="Q393" s="1408"/>
      <c r="R393" s="1408"/>
      <c r="S393" s="1408"/>
      <c r="T393" s="1408"/>
      <c r="U393" s="1408"/>
      <c r="V393" t="s">
        <v>311</v>
      </c>
      <c r="AG393" s="1817"/>
      <c r="AH393" s="1817"/>
      <c r="AI393" s="1817"/>
      <c r="AJ393" s="1817"/>
    </row>
    <row r="394" spans="4:36" ht="12.95" customHeight="1">
      <c r="D394" t="s">
        <v>312</v>
      </c>
      <c r="Q394" s="1755"/>
      <c r="R394" s="1755"/>
      <c r="S394" s="1755"/>
      <c r="T394" s="1755"/>
      <c r="U394" s="1755"/>
      <c r="V394" t="s">
        <v>1162</v>
      </c>
      <c r="AG394" s="1817"/>
      <c r="AH394" s="1817"/>
      <c r="AI394" s="1817"/>
      <c r="AJ394" s="1817"/>
    </row>
    <row r="395" spans="4:36" ht="12.95" customHeight="1">
      <c r="D395" t="s">
        <v>1161</v>
      </c>
      <c r="AG395" s="1817"/>
      <c r="AH395" s="1817"/>
      <c r="AI395" s="1817"/>
      <c r="AJ395" s="1817"/>
    </row>
    <row r="396" spans="4:36" ht="12.95" customHeight="1">
      <c r="AG396" s="456"/>
      <c r="AH396" s="456"/>
      <c r="AI396" s="456"/>
      <c r="AJ396" s="456"/>
    </row>
    <row r="397" spans="4:36" ht="12.95" customHeight="1">
      <c r="D397" s="3" t="s">
        <v>2141</v>
      </c>
      <c r="AG397" s="456"/>
      <c r="AH397" s="456"/>
      <c r="AI397" s="1332" t="s">
        <v>668</v>
      </c>
      <c r="AJ397" s="1332"/>
    </row>
    <row r="398" spans="4:36" ht="12.95" customHeight="1">
      <c r="D398" s="3" t="s">
        <v>1666</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1665</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1659</v>
      </c>
      <c r="S401" s="1750" t="s">
        <v>544</v>
      </c>
      <c r="T401" s="1750"/>
      <c r="U401" s="1750"/>
      <c r="V401" t="s">
        <v>1660</v>
      </c>
      <c r="AG401" s="1821">
        <v>60</v>
      </c>
      <c r="AH401" s="1821"/>
      <c r="AI401" s="1821"/>
      <c r="AJ401" s="1821"/>
    </row>
    <row r="402" spans="1:36" ht="12.95" customHeight="1">
      <c r="D402" s="3" t="s">
        <v>1657</v>
      </c>
      <c r="S402" s="1750" t="s">
        <v>544</v>
      </c>
      <c r="T402" s="1750"/>
      <c r="U402" s="1750"/>
      <c r="V402" t="s">
        <v>1662</v>
      </c>
      <c r="AE402" s="1816">
        <v>1</v>
      </c>
      <c r="AF402" s="1816"/>
      <c r="AG402" s="1816"/>
      <c r="AH402" s="1816"/>
      <c r="AI402" s="1816"/>
      <c r="AJ402" s="1816"/>
    </row>
    <row r="403" spans="1:36" ht="12.95" customHeight="1">
      <c r="D403" s="3" t="s">
        <v>1658</v>
      </c>
      <c r="K403" s="1797"/>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1661</v>
      </c>
      <c r="K404" s="1797" t="s">
        <v>2687</v>
      </c>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1664</v>
      </c>
      <c r="E405" s="477"/>
      <c r="F405" s="477"/>
      <c r="G405" s="477"/>
      <c r="H405" s="477"/>
      <c r="I405" s="477"/>
      <c r="J405" s="477"/>
      <c r="K405" s="477"/>
      <c r="L405" s="477"/>
      <c r="M405" s="477"/>
      <c r="N405" s="477"/>
      <c r="O405" s="477"/>
      <c r="P405" s="477"/>
      <c r="Q405" s="477"/>
      <c r="R405" s="477"/>
      <c r="S405" s="1826" t="s">
        <v>2688</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416" t="s">
        <v>2689</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544</v>
      </c>
      <c r="S411" s="1332"/>
      <c r="AC411" s="27" t="s">
        <v>569</v>
      </c>
      <c r="AD411" s="1662">
        <v>13</v>
      </c>
      <c r="AE411" s="1662"/>
    </row>
    <row r="412" spans="1:36" ht="12.95" customHeight="1">
      <c r="E412" t="s">
        <v>107</v>
      </c>
      <c r="R412" s="1332" t="s">
        <v>590</v>
      </c>
      <c r="S412" s="1332"/>
      <c r="AC412" s="27" t="s">
        <v>569</v>
      </c>
      <c r="AD412" s="1662"/>
      <c r="AE412" s="1662"/>
    </row>
    <row r="413" spans="1:36" ht="12.95" customHeight="1">
      <c r="E413" t="s">
        <v>108</v>
      </c>
      <c r="S413" s="1332" t="s">
        <v>590</v>
      </c>
      <c r="T413" s="1332"/>
    </row>
    <row r="414" spans="1:36" ht="12.95" customHeight="1">
      <c r="E414" t="s">
        <v>170</v>
      </c>
      <c r="H414" s="1756" t="s">
        <v>2690</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589</v>
      </c>
      <c r="B417" s="2"/>
      <c r="C417" s="2"/>
      <c r="D417" s="2" t="s">
        <v>114</v>
      </c>
      <c r="AF417" s="2" t="s">
        <v>956</v>
      </c>
    </row>
    <row r="418" spans="1:39" ht="12.95" customHeight="1">
      <c r="E418" s="1815"/>
      <c r="F418" s="1815"/>
      <c r="G418" s="1815"/>
      <c r="H418" s="13" t="s">
        <v>115</v>
      </c>
      <c r="I418" s="1815"/>
      <c r="J418" s="1815"/>
      <c r="K418" s="1815"/>
      <c r="L418" t="s">
        <v>116</v>
      </c>
      <c r="N418" s="27" t="s">
        <v>574</v>
      </c>
      <c r="P418" s="1759">
        <v>0.55000000000000004</v>
      </c>
      <c r="Q418" s="1759"/>
      <c r="R418" s="1759"/>
      <c r="S418" t="s">
        <v>117</v>
      </c>
      <c r="W418" s="1825">
        <f>IF(E418&gt;0,(E418*I418),(P418*43560))</f>
        <v>23958.000000000004</v>
      </c>
      <c r="X418" s="1825"/>
      <c r="Y418" s="1825"/>
      <c r="Z418" t="s">
        <v>118</v>
      </c>
      <c r="AF418" s="1760">
        <f>IFERROR(IF(P418&gt;0,(AG437/P418),(AG437/(W418/43560))),0)</f>
        <v>270.90909090909088</v>
      </c>
      <c r="AG418" s="1760"/>
      <c r="AH418" s="1760"/>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1735</v>
      </c>
      <c r="F421" s="1013"/>
      <c r="G421" s="1013"/>
      <c r="H421" s="1013"/>
      <c r="I421" s="1758"/>
      <c r="J421" s="1758"/>
      <c r="K421" s="1758"/>
      <c r="L421" s="1013"/>
      <c r="M421" s="118"/>
      <c r="N421" s="1013"/>
      <c r="O421" s="1013"/>
      <c r="P421" s="1440" t="e">
        <f>(DU755+DU778+DU800)/I421</f>
        <v>#DIV/0!</v>
      </c>
      <c r="Q421" s="1440"/>
      <c r="R421" s="1440"/>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544</v>
      </c>
      <c r="AF425" s="1332"/>
    </row>
    <row r="426" spans="1:39" ht="12.95" customHeight="1">
      <c r="F426" s="28" t="s">
        <v>132</v>
      </c>
    </row>
    <row r="427" spans="1:39" ht="12.95" customHeight="1">
      <c r="F427" s="1802" t="s">
        <v>2691</v>
      </c>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607</v>
      </c>
      <c r="P429" s="1"/>
      <c r="Q429" s="1332" t="s">
        <v>544</v>
      </c>
      <c r="R429" s="1332"/>
    </row>
    <row r="430" spans="1:39" ht="12.95" customHeight="1">
      <c r="F430" t="s">
        <v>608</v>
      </c>
      <c r="P430" s="1"/>
      <c r="Q430" s="1"/>
      <c r="AF430" s="1332" t="s">
        <v>590</v>
      </c>
      <c r="AG430" s="1823"/>
    </row>
    <row r="431" spans="1:39" ht="12.95" customHeight="1"/>
    <row r="432" spans="1:39" ht="12.95" customHeight="1">
      <c r="A432" s="2"/>
      <c r="B432" s="2"/>
      <c r="C432" s="2"/>
      <c r="E432" s="4" t="s">
        <v>308</v>
      </c>
      <c r="Z432" s="1332" t="s">
        <v>668</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2" t="s">
        <v>590</v>
      </c>
      <c r="AA434" s="1332"/>
    </row>
    <row r="435" spans="1:55" ht="12.95" customHeight="1"/>
    <row r="436" spans="1:55" ht="12.95" customHeight="1">
      <c r="A436" s="2" t="s">
        <v>466</v>
      </c>
      <c r="B436" s="2"/>
      <c r="C436" s="2"/>
      <c r="D436" s="2" t="s">
        <v>763</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20">
        <v>149</v>
      </c>
      <c r="AH437" s="1820"/>
      <c r="AI437" s="1820"/>
      <c r="AJ437" s="1820"/>
    </row>
    <row r="438" spans="1:55" ht="12.95" customHeight="1">
      <c r="D438" s="1742" t="s">
        <v>1221</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2"/>
      <c r="AI438" s="1612"/>
      <c r="AJ438" s="1612"/>
    </row>
    <row r="439" spans="1:55" ht="12.95" customHeight="1">
      <c r="D439" s="1742" t="s">
        <v>1030</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147</v>
      </c>
      <c r="AH439" s="1820"/>
      <c r="AI439" s="1820"/>
      <c r="AJ439" s="1820"/>
    </row>
    <row r="440" spans="1:55" ht="12.95" customHeight="1">
      <c r="D440" s="1742" t="s">
        <v>1031</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147</v>
      </c>
      <c r="AH440" s="1820"/>
      <c r="AI440" s="1820"/>
      <c r="AJ440" s="1820"/>
    </row>
    <row r="441" spans="1:55" ht="12.95" customHeight="1">
      <c r="D441" s="1742" t="s">
        <v>1033</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5">
        <f>IF(ISERROR(AG440/AG439),0,AG440/AG439)</f>
        <v>1</v>
      </c>
      <c r="AH441" s="1805"/>
      <c r="AI441" s="1805"/>
      <c r="AJ441" s="1805"/>
    </row>
    <row r="442" spans="1:55" ht="12.95" customHeight="1">
      <c r="D442" s="1742" t="s">
        <v>1032</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63639</v>
      </c>
      <c r="AH442" s="1695"/>
      <c r="AI442" s="1695"/>
      <c r="AJ442" s="1695"/>
    </row>
    <row r="443" spans="1:55" ht="12.95" customHeight="1">
      <c r="D443" s="1742" t="s">
        <v>1034</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63639</v>
      </c>
      <c r="AH443" s="1695"/>
      <c r="AI443" s="1695"/>
      <c r="AJ443" s="1695"/>
    </row>
    <row r="444" spans="1:55" ht="12.95" customHeight="1">
      <c r="D444" s="1742" t="s">
        <v>1035</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5">
        <f>IF(ISERROR(AG443/AG442),0,AG443/AG442)</f>
        <v>1</v>
      </c>
      <c r="AH444" s="1805"/>
      <c r="AI444" s="1805"/>
      <c r="AJ444" s="1805"/>
    </row>
    <row r="445" spans="1:55" ht="12.95" customHeight="1">
      <c r="D445" s="1742" t="s">
        <v>1036</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5">
        <f>MIN(IF(AG441&gt;AG444,AG444,AG441),1)</f>
        <v>1</v>
      </c>
      <c r="AH445" s="1805"/>
      <c r="AI445" s="1805"/>
      <c r="AJ445" s="1805"/>
    </row>
    <row r="446" spans="1:55" ht="12.95" customHeight="1">
      <c r="D446" s="1742" t="s">
        <v>2086</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5">
        <v>0</v>
      </c>
      <c r="AH446" s="1695"/>
      <c r="AI446" s="1695"/>
      <c r="AJ446" s="1695"/>
      <c r="AZ446" s="34"/>
      <c r="BA446" s="34"/>
      <c r="BB446" s="34"/>
      <c r="BC446" s="34"/>
    </row>
    <row r="447" spans="1:55" ht="12.95" customHeight="1">
      <c r="D447" s="1624" t="s">
        <v>568</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5">
        <v>0</v>
      </c>
      <c r="AH447" s="1695"/>
      <c r="AI447" s="1695"/>
      <c r="AJ447" s="1695"/>
      <c r="AZ447" s="3"/>
      <c r="BA447" s="3"/>
      <c r="BB447" s="3"/>
      <c r="BC447" s="3"/>
    </row>
    <row r="448" spans="1:55" ht="12.95" customHeight="1">
      <c r="D448" s="1742" t="s">
        <v>1204</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5">
        <v>9689</v>
      </c>
      <c r="AH448" s="1695"/>
      <c r="AI448" s="1695"/>
      <c r="AJ448" s="1695"/>
      <c r="AZ448" s="3"/>
      <c r="BA448" s="3"/>
      <c r="BB448" s="3"/>
      <c r="BC448" s="3"/>
    </row>
    <row r="449" spans="1:55" ht="12.95" customHeight="1">
      <c r="D449" s="1742" t="s">
        <v>1037</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5">
        <v>0</v>
      </c>
      <c r="AH449" s="1695"/>
      <c r="AI449" s="1695"/>
      <c r="AJ449" s="1695"/>
      <c r="BB449" s="3"/>
      <c r="BC449" s="3"/>
    </row>
    <row r="450" spans="1:55" ht="12.95" customHeight="1">
      <c r="D450" s="1766" t="s">
        <v>1038</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73328</v>
      </c>
      <c r="AH450" s="1844"/>
      <c r="AI450" s="1844"/>
      <c r="AJ450" s="1844"/>
      <c r="AZ450" s="3"/>
      <c r="BA450" s="3"/>
      <c r="BB450" s="3"/>
      <c r="BC450" s="3"/>
    </row>
    <row r="451" spans="1:55" ht="12.95" customHeight="1">
      <c r="D451" s="1745" t="s">
        <v>1205</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449091.39597315434</v>
      </c>
      <c r="AD454" s="1812"/>
      <c r="AE454" s="1812"/>
      <c r="AF454" s="1812"/>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449091.39597315434</v>
      </c>
      <c r="AD455" s="1812"/>
      <c r="AE455" s="1812"/>
      <c r="AF455" s="1812"/>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435423.32214765099</v>
      </c>
      <c r="AD456" s="1812"/>
      <c r="AE456" s="1812"/>
      <c r="AF456" s="1812"/>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612</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2098</v>
      </c>
      <c r="E465" s="1753"/>
      <c r="F465" s="1753"/>
      <c r="G465" s="1753"/>
      <c r="H465" s="1753"/>
      <c r="I465" s="1753"/>
      <c r="J465" s="1753"/>
      <c r="K465" s="1753"/>
      <c r="L465" s="1753"/>
      <c r="M465" s="1753"/>
      <c r="N465" s="1753"/>
      <c r="O465" s="1753"/>
      <c r="P465" s="1753"/>
      <c r="Q465" s="1753"/>
      <c r="R465" s="1753"/>
      <c r="S465" s="1753"/>
      <c r="T465" s="1753"/>
      <c r="U465" s="1753"/>
      <c r="V465" s="1754"/>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692</v>
      </c>
      <c r="E466" s="1753"/>
      <c r="F466" s="1753"/>
      <c r="G466" s="1753"/>
      <c r="H466" s="1753"/>
      <c r="I466" s="1753"/>
      <c r="J466" s="1753"/>
      <c r="K466" s="1753"/>
      <c r="L466" s="1753"/>
      <c r="M466" s="1753"/>
      <c r="N466" s="1753"/>
      <c r="O466" s="1753"/>
      <c r="P466" s="1753"/>
      <c r="Q466" s="1753"/>
      <c r="R466" s="1753"/>
      <c r="S466" s="1753"/>
      <c r="T466" s="1753"/>
      <c r="U466" s="1753"/>
      <c r="V466" s="1754"/>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693</v>
      </c>
      <c r="E467" s="1753"/>
      <c r="F467" s="1753"/>
      <c r="G467" s="1753"/>
      <c r="H467" s="1753"/>
      <c r="I467" s="1753"/>
      <c r="J467" s="1753"/>
      <c r="K467" s="1753"/>
      <c r="L467" s="1753"/>
      <c r="M467" s="1753"/>
      <c r="N467" s="1753"/>
      <c r="O467" s="1753"/>
      <c r="P467" s="1753"/>
      <c r="Q467" s="1753"/>
      <c r="R467" s="1753"/>
      <c r="S467" s="1753"/>
      <c r="T467" s="1753"/>
      <c r="U467" s="1753"/>
      <c r="V467" s="1754"/>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694</v>
      </c>
      <c r="E468" s="1753"/>
      <c r="F468" s="1753"/>
      <c r="G468" s="1753"/>
      <c r="H468" s="1753"/>
      <c r="I468" s="1753"/>
      <c r="J468" s="1753"/>
      <c r="K468" s="1753"/>
      <c r="L468" s="1753"/>
      <c r="M468" s="1753"/>
      <c r="N468" s="1753"/>
      <c r="O468" s="1753"/>
      <c r="P468" s="1753"/>
      <c r="Q468" s="1753"/>
      <c r="R468" s="1753"/>
      <c r="S468" s="1753"/>
      <c r="T468" s="1753"/>
      <c r="U468" s="1753"/>
      <c r="V468" s="1754"/>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880</v>
      </c>
      <c r="E469" s="1753"/>
      <c r="F469" s="1753"/>
      <c r="G469" s="1753"/>
      <c r="H469" s="1753"/>
      <c r="I469" s="1753"/>
      <c r="J469" s="1753"/>
      <c r="K469" s="1753"/>
      <c r="L469" s="1753"/>
      <c r="M469" s="1753"/>
      <c r="N469" s="1753"/>
      <c r="O469" s="1753"/>
      <c r="P469" s="1753"/>
      <c r="Q469" s="1753"/>
      <c r="R469" s="1753"/>
      <c r="S469" s="1753"/>
      <c r="T469" s="1753"/>
      <c r="U469" s="1753"/>
      <c r="V469" s="1754"/>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695</v>
      </c>
      <c r="E470" s="1753"/>
      <c r="F470" s="1753"/>
      <c r="G470" s="1753"/>
      <c r="H470" s="1753"/>
      <c r="I470" s="1753"/>
      <c r="J470" s="1753"/>
      <c r="K470" s="1753"/>
      <c r="L470" s="1753"/>
      <c r="M470" s="1753"/>
      <c r="N470" s="1753"/>
      <c r="O470" s="1753"/>
      <c r="P470" s="1753"/>
      <c r="Q470" s="1753"/>
      <c r="R470" s="1753"/>
      <c r="S470" s="1753"/>
      <c r="T470" s="1753"/>
      <c r="U470" s="1753"/>
      <c r="V470" s="1754"/>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1011</v>
      </c>
      <c r="E471" s="1753"/>
      <c r="F471" s="1753"/>
      <c r="G471" s="1753"/>
      <c r="H471" s="1753"/>
      <c r="I471" s="1753"/>
      <c r="J471" s="1753"/>
      <c r="K471" s="1753"/>
      <c r="L471" s="1753"/>
      <c r="M471" s="1753"/>
      <c r="N471" s="1753"/>
      <c r="O471" s="1753"/>
      <c r="P471" s="1753"/>
      <c r="Q471" s="1753"/>
      <c r="R471" s="1753"/>
      <c r="S471" s="1753"/>
      <c r="T471" s="1753"/>
      <c r="U471" s="1753"/>
      <c r="V471" s="1754"/>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2189</v>
      </c>
      <c r="E472" s="1848"/>
      <c r="F472" s="1848"/>
      <c r="G472" s="1848"/>
      <c r="H472" s="1848"/>
      <c r="I472" s="1848"/>
      <c r="J472" s="1848"/>
      <c r="K472" s="1848"/>
      <c r="L472" s="1848"/>
      <c r="M472" s="1848"/>
      <c r="N472" s="1848"/>
      <c r="O472" s="1848"/>
      <c r="P472" s="1848"/>
      <c r="Q472" s="1848"/>
      <c r="R472" s="1848"/>
      <c r="S472" s="1848"/>
      <c r="T472" s="1848"/>
      <c r="U472" s="1848"/>
      <c r="V472" s="1849"/>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1653</v>
      </c>
      <c r="E473" s="1753"/>
      <c r="F473" s="1753"/>
      <c r="G473" s="1753"/>
      <c r="H473" s="1753"/>
      <c r="I473" s="1753"/>
      <c r="J473" s="1753"/>
      <c r="K473" s="1753"/>
      <c r="L473" s="1753"/>
      <c r="M473" s="1753"/>
      <c r="N473" s="1753"/>
      <c r="O473" s="1753"/>
      <c r="P473" s="1753"/>
      <c r="Q473" s="1753"/>
      <c r="R473" s="1753"/>
      <c r="S473" s="1753"/>
      <c r="T473" s="1753"/>
      <c r="U473" s="1753"/>
      <c r="V473" s="1754"/>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809</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392</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393</v>
      </c>
      <c r="C486" s="5"/>
      <c r="D486" s="5"/>
      <c r="E486" s="5"/>
      <c r="F486" s="5"/>
      <c r="G486" s="5"/>
      <c r="H486" s="5"/>
      <c r="I486" s="5"/>
      <c r="J486" s="5"/>
      <c r="K486" s="5"/>
      <c r="L486" s="5"/>
      <c r="M486" s="5"/>
      <c r="N486" s="5"/>
      <c r="O486" s="5"/>
      <c r="P486" s="5"/>
      <c r="Q486" s="1576" t="s">
        <v>2692</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394</v>
      </c>
      <c r="C487" s="5"/>
      <c r="D487" s="5"/>
      <c r="E487" s="5"/>
      <c r="F487" s="5"/>
      <c r="G487" s="5"/>
      <c r="H487" s="5"/>
      <c r="I487" s="5"/>
      <c r="J487" s="5"/>
      <c r="K487" s="5"/>
      <c r="L487" s="5"/>
      <c r="M487" s="5"/>
      <c r="N487" s="5"/>
      <c r="O487" s="5"/>
      <c r="P487" s="5"/>
      <c r="Q487" s="1576" t="s">
        <v>2693</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395</v>
      </c>
      <c r="C488" s="5"/>
      <c r="D488" s="5"/>
      <c r="E488" s="5"/>
      <c r="F488" s="5"/>
      <c r="G488" s="5"/>
      <c r="H488" s="5"/>
      <c r="I488" s="5"/>
      <c r="J488" s="5"/>
      <c r="K488" s="5"/>
      <c r="L488" s="5"/>
      <c r="M488" s="5"/>
      <c r="N488" s="5"/>
      <c r="O488" s="5"/>
      <c r="P488" s="5"/>
      <c r="Q488" s="1576">
        <v>0</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2" t="s">
        <v>396</v>
      </c>
      <c r="C489" s="1833"/>
      <c r="D489" s="1833"/>
      <c r="E489" s="1833"/>
      <c r="F489" s="1833"/>
      <c r="G489" s="1833"/>
      <c r="H489" s="1833"/>
      <c r="I489" s="1833"/>
      <c r="J489" s="1833"/>
      <c r="K489" s="1833"/>
      <c r="L489" s="1833"/>
      <c r="M489" s="1833"/>
      <c r="N489" s="1833"/>
      <c r="O489" s="1833"/>
      <c r="P489" s="1834"/>
      <c r="Q489" s="1838" t="s">
        <v>668</v>
      </c>
      <c r="R489" s="1839"/>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5"/>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6">
        <v>0</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6">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6">
        <v>16</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1668</v>
      </c>
      <c r="C495" s="5"/>
      <c r="D495" s="5"/>
      <c r="E495" s="5"/>
      <c r="F495" s="5"/>
      <c r="G495" s="5"/>
      <c r="H495" s="5"/>
      <c r="I495" s="5"/>
      <c r="J495" s="5"/>
      <c r="K495" s="5"/>
      <c r="L495" s="5"/>
      <c r="M495" s="1445"/>
      <c r="N495" s="1446"/>
      <c r="O495" s="1446"/>
      <c r="P495" s="1447"/>
      <c r="Q495" s="121" t="s">
        <v>1669</v>
      </c>
      <c r="R495" s="5"/>
      <c r="S495" s="5"/>
      <c r="T495" s="5"/>
      <c r="U495" s="5"/>
      <c r="V495" s="5"/>
      <c r="W495" s="5"/>
      <c r="X495" s="5"/>
      <c r="Y495" s="5"/>
      <c r="Z495" s="5"/>
      <c r="AA495" s="5"/>
      <c r="AB495" s="5"/>
      <c r="AC495" s="5"/>
      <c r="AD495" s="5"/>
      <c r="AE495" s="5"/>
      <c r="AF495" s="5"/>
      <c r="AG495" s="5"/>
      <c r="AH495" s="1445">
        <v>16</v>
      </c>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400</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401</v>
      </c>
      <c r="AD500" s="1764"/>
      <c r="AE500" s="1764"/>
      <c r="AF500" s="1764"/>
      <c r="AG500" s="50" t="s">
        <v>402</v>
      </c>
      <c r="AH500" s="1764" t="s">
        <v>403</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1" t="s">
        <v>404</v>
      </c>
      <c r="C501" s="1430"/>
      <c r="D501" s="1430"/>
      <c r="E501" s="1430"/>
      <c r="F501" s="1430"/>
      <c r="G501" s="1430"/>
      <c r="H501" s="1431"/>
      <c r="I501" s="42" t="s">
        <v>405</v>
      </c>
      <c r="J501" s="42"/>
      <c r="K501" s="42"/>
      <c r="L501" s="42"/>
      <c r="M501" s="42"/>
      <c r="N501" s="42"/>
      <c r="O501" s="42"/>
      <c r="P501" s="42"/>
      <c r="Q501" s="42"/>
      <c r="R501" s="42"/>
      <c r="S501" s="42"/>
      <c r="T501" s="42"/>
      <c r="U501" s="42"/>
      <c r="V501" s="42"/>
      <c r="W501" s="42"/>
      <c r="AC501" s="1661" t="s">
        <v>590</v>
      </c>
      <c r="AD501" s="1662"/>
      <c r="AE501" s="1662"/>
      <c r="AF501" s="1662"/>
      <c r="AG501" s="13" t="s">
        <v>402</v>
      </c>
      <c r="AH501" s="1402">
        <v>0</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406</v>
      </c>
      <c r="J502" s="48"/>
      <c r="K502" s="48"/>
      <c r="L502" s="48"/>
      <c r="M502" s="48"/>
      <c r="N502" s="48"/>
      <c r="O502" s="48"/>
      <c r="P502" s="48"/>
      <c r="Q502" s="48"/>
      <c r="R502" s="48"/>
      <c r="S502" s="48"/>
      <c r="T502" s="48"/>
      <c r="U502" s="48"/>
      <c r="V502" s="48"/>
      <c r="W502" s="48"/>
      <c r="X502" s="48"/>
      <c r="Y502" s="48"/>
      <c r="Z502" s="48"/>
      <c r="AA502" s="48"/>
      <c r="AB502" s="48"/>
      <c r="AC502" s="1661">
        <v>11</v>
      </c>
      <c r="AD502" s="1662"/>
      <c r="AE502" s="1662"/>
      <c r="AF502" s="1662"/>
      <c r="AG502" s="38" t="s">
        <v>402</v>
      </c>
      <c r="AH502" s="1402">
        <v>2024</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407</v>
      </c>
      <c r="C503" s="1430"/>
      <c r="D503" s="1430"/>
      <c r="E503" s="1430"/>
      <c r="F503" s="1430"/>
      <c r="G503" s="1430"/>
      <c r="H503" s="1431"/>
      <c r="I503" s="42" t="s">
        <v>408</v>
      </c>
      <c r="J503" s="42"/>
      <c r="K503" s="42"/>
      <c r="L503" s="42"/>
      <c r="M503" s="42"/>
      <c r="N503" s="42"/>
      <c r="O503" s="42"/>
      <c r="P503" s="42"/>
      <c r="Q503" s="42"/>
      <c r="R503" s="42"/>
      <c r="S503" s="42"/>
      <c r="T503" s="42"/>
      <c r="U503" s="42"/>
      <c r="V503" s="42"/>
      <c r="W503" s="42"/>
      <c r="AC503" s="1661" t="s">
        <v>590</v>
      </c>
      <c r="AD503" s="1662"/>
      <c r="AE503" s="1662"/>
      <c r="AF503" s="1662"/>
      <c r="AG503" s="13" t="s">
        <v>402</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409</v>
      </c>
      <c r="AC504" s="1661" t="s">
        <v>590</v>
      </c>
      <c r="AD504" s="1662"/>
      <c r="AE504" s="1662"/>
      <c r="AF504" s="1662"/>
      <c r="AG504" s="13" t="s">
        <v>402</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410</v>
      </c>
      <c r="AC505" s="1661" t="s">
        <v>590</v>
      </c>
      <c r="AD505" s="1662"/>
      <c r="AE505" s="1662"/>
      <c r="AF505" s="1662"/>
      <c r="AG505" s="13" t="s">
        <v>402</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411</v>
      </c>
      <c r="AC506" s="1661" t="s">
        <v>590</v>
      </c>
      <c r="AD506" s="1662"/>
      <c r="AE506" s="1662"/>
      <c r="AF506" s="1662"/>
      <c r="AG506" s="13" t="s">
        <v>402</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412</v>
      </c>
      <c r="AC507" s="1337">
        <v>11</v>
      </c>
      <c r="AD507" s="1338"/>
      <c r="AE507" s="1338"/>
      <c r="AF507" s="1338"/>
      <c r="AG507" s="13" t="s">
        <v>402</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3"/>
      <c r="AC508" s="1661" t="s">
        <v>590</v>
      </c>
      <c r="AD508" s="1662"/>
      <c r="AE508" s="1662"/>
      <c r="AF508" s="1662"/>
      <c r="AG508" s="38" t="s">
        <v>402</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0" t="s">
        <v>1183</v>
      </c>
      <c r="AD509" s="1820"/>
      <c r="AE509" s="1820"/>
      <c r="AF509" s="1820"/>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7"/>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401</v>
      </c>
      <c r="AD513" s="1636"/>
      <c r="AE513" s="1636"/>
      <c r="AF513" s="1636"/>
      <c r="AG513" s="38" t="s">
        <v>402</v>
      </c>
      <c r="AH513" s="1636" t="s">
        <v>403</v>
      </c>
      <c r="AI513" s="1636"/>
      <c r="AJ513" s="1636"/>
      <c r="AK513" s="1842"/>
      <c r="AZ513" s="3"/>
      <c r="BA513" s="3"/>
      <c r="BB513" s="3"/>
      <c r="BC513" s="3"/>
      <c r="BD513" s="3"/>
      <c r="BE513" s="3"/>
      <c r="BF513" s="3"/>
      <c r="BG513" s="3"/>
      <c r="BH513" s="3"/>
      <c r="BI513" s="3"/>
      <c r="BJ513" s="3"/>
      <c r="BK513" s="3"/>
      <c r="BL513" s="3"/>
      <c r="BM513" s="3"/>
      <c r="BN513" s="3" t="s">
        <v>2103</v>
      </c>
    </row>
    <row r="514" spans="2:66" ht="12.95" customHeight="1">
      <c r="B514" s="1671" t="s">
        <v>413</v>
      </c>
      <c r="C514" s="1430"/>
      <c r="D514" s="1430"/>
      <c r="E514" s="1430"/>
      <c r="F514" s="1430"/>
      <c r="G514" s="1430"/>
      <c r="H514" s="1431"/>
      <c r="I514" s="42" t="s">
        <v>414</v>
      </c>
      <c r="J514" s="42"/>
      <c r="K514" s="42"/>
      <c r="L514" s="42"/>
      <c r="M514" s="42"/>
      <c r="N514" s="42"/>
      <c r="O514" s="42"/>
      <c r="P514" s="42"/>
      <c r="Q514" s="42"/>
      <c r="R514" s="42"/>
      <c r="S514" s="42"/>
      <c r="T514" s="42"/>
      <c r="U514" s="42"/>
      <c r="V514" s="42"/>
      <c r="W514" s="42"/>
      <c r="AC514" s="1661">
        <v>8</v>
      </c>
      <c r="AD514" s="1662"/>
      <c r="AE514" s="1662"/>
      <c r="AF514" s="1662"/>
      <c r="AG514" s="13" t="s">
        <v>402</v>
      </c>
      <c r="AH514" s="1402">
        <v>2025</v>
      </c>
      <c r="AI514" s="1402"/>
      <c r="AJ514" s="1402"/>
      <c r="AK514" s="1403"/>
      <c r="AZ514" s="3"/>
      <c r="BA514" s="3"/>
      <c r="BB514" s="3"/>
      <c r="BC514" s="3"/>
      <c r="BD514" s="3"/>
      <c r="BE514" s="3"/>
      <c r="BF514" s="3"/>
      <c r="BG514" s="3"/>
      <c r="BH514" s="3"/>
      <c r="BI514" s="3"/>
      <c r="BJ514" s="3"/>
      <c r="BK514" s="3"/>
      <c r="BL514" s="3"/>
      <c r="BM514" s="3"/>
      <c r="BN514" s="3" t="s">
        <v>2104</v>
      </c>
    </row>
    <row r="515" spans="2:66" ht="12.95" customHeight="1">
      <c r="B515" s="1672"/>
      <c r="C515" s="1432"/>
      <c r="D515" s="1432"/>
      <c r="E515" s="1432"/>
      <c r="F515" s="1432"/>
      <c r="G515" s="1432"/>
      <c r="H515" s="1433"/>
      <c r="I515" t="s">
        <v>415</v>
      </c>
      <c r="AC515" s="1661">
        <v>9</v>
      </c>
      <c r="AD515" s="1662"/>
      <c r="AE515" s="1662"/>
      <c r="AF515" s="1662"/>
      <c r="AG515" s="13" t="s">
        <v>402</v>
      </c>
      <c r="AH515" s="1402">
        <v>2025</v>
      </c>
      <c r="AI515" s="1402"/>
      <c r="AJ515" s="1402"/>
      <c r="AK515" s="1403"/>
      <c r="AZ515" s="3"/>
      <c r="BA515" s="3"/>
      <c r="BB515" s="3"/>
      <c r="BC515" s="3"/>
      <c r="BD515" s="3"/>
      <c r="BE515" s="3"/>
      <c r="BF515" s="3"/>
      <c r="BG515" s="3"/>
      <c r="BH515" s="3"/>
      <c r="BI515" s="3"/>
      <c r="BJ515" s="3"/>
      <c r="BK515" s="3"/>
      <c r="BL515" s="3"/>
      <c r="BM515" s="3"/>
      <c r="BN515" s="3" t="s">
        <v>2105</v>
      </c>
    </row>
    <row r="516" spans="2:66" ht="12.95" customHeight="1">
      <c r="B516" s="1672"/>
      <c r="C516" s="1432"/>
      <c r="D516" s="1432"/>
      <c r="E516" s="1432"/>
      <c r="F516" s="1432"/>
      <c r="G516" s="1432"/>
      <c r="H516" s="1433"/>
      <c r="I516" s="48" t="s">
        <v>416</v>
      </c>
      <c r="J516" s="48"/>
      <c r="K516" s="48"/>
      <c r="L516" s="48"/>
      <c r="M516" s="48"/>
      <c r="N516" s="48"/>
      <c r="O516" s="48"/>
      <c r="P516" s="48"/>
      <c r="Q516" s="48"/>
      <c r="R516" s="48"/>
      <c r="S516" s="48"/>
      <c r="T516" s="48"/>
      <c r="U516" s="48"/>
      <c r="V516" s="48"/>
      <c r="W516" s="48"/>
      <c r="X516" s="48"/>
      <c r="Y516" s="48"/>
      <c r="Z516" s="48"/>
      <c r="AA516" s="48"/>
      <c r="AB516" s="48"/>
      <c r="AC516" s="1661">
        <v>4</v>
      </c>
      <c r="AD516" s="1662"/>
      <c r="AE516" s="1662"/>
      <c r="AF516" s="1662"/>
      <c r="AG516" s="38" t="s">
        <v>402</v>
      </c>
      <c r="AH516" s="1402">
        <v>2026</v>
      </c>
      <c r="AI516" s="1402"/>
      <c r="AJ516" s="1402"/>
      <c r="AK516" s="1403"/>
      <c r="AZ516" s="3"/>
      <c r="BA516" s="3"/>
      <c r="BB516" s="3"/>
      <c r="BC516" s="3"/>
      <c r="BD516" s="3"/>
      <c r="BE516" s="3"/>
      <c r="BF516" s="3"/>
      <c r="BG516" s="3"/>
      <c r="BH516" s="3"/>
      <c r="BI516" s="3"/>
      <c r="BJ516" s="3"/>
      <c r="BK516" s="3"/>
      <c r="BL516" s="3"/>
      <c r="BM516" s="3"/>
      <c r="BN516" s="3" t="s">
        <v>2106</v>
      </c>
    </row>
    <row r="517" spans="2:66" ht="12.95" customHeight="1">
      <c r="B517" s="1671" t="s">
        <v>417</v>
      </c>
      <c r="C517" s="1430"/>
      <c r="D517" s="1430"/>
      <c r="E517" s="1430"/>
      <c r="F517" s="1430"/>
      <c r="G517" s="1430"/>
      <c r="H517" s="1431"/>
      <c r="I517" s="42" t="s">
        <v>414</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402</v>
      </c>
      <c r="AH517" s="1402">
        <v>2025</v>
      </c>
      <c r="AI517" s="1402"/>
      <c r="AJ517" s="1402"/>
      <c r="AK517" s="1403"/>
      <c r="AZ517" s="3"/>
      <c r="BB517" s="3"/>
      <c r="BC517" s="3"/>
      <c r="BD517" s="3"/>
      <c r="BE517" s="3"/>
      <c r="BF517" s="3"/>
      <c r="BG517" s="3"/>
      <c r="BH517" s="3"/>
      <c r="BI517" s="3"/>
      <c r="BJ517" s="3"/>
      <c r="BK517" s="3"/>
      <c r="BL517" s="3"/>
      <c r="BM517" s="3"/>
      <c r="BN517" s="3" t="s">
        <v>2107</v>
      </c>
    </row>
    <row r="518" spans="2:66" ht="12.95" customHeight="1">
      <c r="B518" s="1672"/>
      <c r="C518" s="1432"/>
      <c r="D518" s="1432"/>
      <c r="E518" s="1432"/>
      <c r="F518" s="1432"/>
      <c r="G518" s="1432"/>
      <c r="H518" s="1433"/>
      <c r="I518" t="s">
        <v>415</v>
      </c>
      <c r="AC518" s="1661">
        <v>9</v>
      </c>
      <c r="AD518" s="1662"/>
      <c r="AE518" s="1662"/>
      <c r="AF518" s="1662"/>
      <c r="AG518" s="13" t="s">
        <v>402</v>
      </c>
      <c r="AH518" s="1402">
        <v>2025</v>
      </c>
      <c r="AI518" s="1402"/>
      <c r="AJ518" s="1402"/>
      <c r="AK518" s="1403"/>
      <c r="BB518" s="3"/>
      <c r="BC518" s="3"/>
      <c r="BD518" s="3"/>
      <c r="BE518" s="3"/>
      <c r="BF518" s="3"/>
      <c r="BG518" s="3"/>
      <c r="BH518" s="3"/>
      <c r="BI518" s="3"/>
      <c r="BJ518" s="3"/>
      <c r="BK518" s="3"/>
      <c r="BL518" s="3"/>
      <c r="BM518" s="3"/>
      <c r="BN518" s="3" t="s">
        <v>2108</v>
      </c>
    </row>
    <row r="519" spans="2:66" ht="12.95" customHeight="1">
      <c r="B519" s="1673"/>
      <c r="C519" s="1434"/>
      <c r="D519" s="1434"/>
      <c r="E519" s="1434"/>
      <c r="F519" s="1434"/>
      <c r="G519" s="1434"/>
      <c r="H519" s="1435"/>
      <c r="I519" s="48" t="s">
        <v>416</v>
      </c>
      <c r="J519" s="48"/>
      <c r="K519" s="48"/>
      <c r="L519" s="48"/>
      <c r="M519" s="48"/>
      <c r="N519" s="48"/>
      <c r="O519" s="48"/>
      <c r="P519" s="48"/>
      <c r="Q519" s="48"/>
      <c r="R519" s="48"/>
      <c r="S519" s="48"/>
      <c r="T519" s="48"/>
      <c r="U519" s="48"/>
      <c r="V519" s="48"/>
      <c r="W519" s="48"/>
      <c r="X519" s="48"/>
      <c r="Y519" s="48"/>
      <c r="Z519" s="48"/>
      <c r="AA519" s="48"/>
      <c r="AB519" s="48"/>
      <c r="AC519" s="1661">
        <v>4</v>
      </c>
      <c r="AD519" s="1662"/>
      <c r="AE519" s="1662"/>
      <c r="AF519" s="1662"/>
      <c r="AG519" s="38" t="s">
        <v>402</v>
      </c>
      <c r="AH519" s="1402">
        <v>2026</v>
      </c>
      <c r="AI519" s="1402"/>
      <c r="AJ519" s="1402"/>
      <c r="AK519" s="1403"/>
      <c r="BB519" s="3"/>
      <c r="BC519" s="3"/>
      <c r="BD519" s="3"/>
      <c r="BE519" s="3"/>
      <c r="BF519" s="3"/>
      <c r="BG519" s="3"/>
      <c r="BH519" s="3"/>
      <c r="BI519" s="3"/>
      <c r="BJ519" s="3"/>
      <c r="BK519" s="3"/>
      <c r="BL519" s="3"/>
      <c r="BM519" s="3"/>
      <c r="BN519" s="3" t="s">
        <v>2109</v>
      </c>
    </row>
    <row r="520" spans="2:66" ht="12.95" customHeight="1">
      <c r="B520" s="1671" t="s">
        <v>418</v>
      </c>
      <c r="C520" s="1430"/>
      <c r="D520" s="1430"/>
      <c r="E520" s="1430"/>
      <c r="F520" s="1430"/>
      <c r="G520" s="1430"/>
      <c r="H520" s="1431"/>
      <c r="I520" s="41" t="s">
        <v>419</v>
      </c>
      <c r="J520" s="42"/>
      <c r="K520" s="42"/>
      <c r="L520" s="42"/>
      <c r="M520" s="42"/>
      <c r="N520" s="42"/>
      <c r="O520" s="1749" t="s">
        <v>334</v>
      </c>
      <c r="P520" s="1750"/>
      <c r="Q520" s="1750"/>
      <c r="R520" s="1750"/>
      <c r="S520" s="1750"/>
      <c r="T520" s="1750"/>
      <c r="U520" s="1750"/>
      <c r="V520" s="1750"/>
      <c r="W520" s="1750"/>
      <c r="X520" s="1750"/>
      <c r="Y520" s="1750"/>
      <c r="Z520" s="1750"/>
      <c r="AA520" s="1750"/>
      <c r="AB520" s="58"/>
      <c r="AC520" s="1337" t="s">
        <v>590</v>
      </c>
      <c r="AD520" s="1338"/>
      <c r="AE520" s="1338"/>
      <c r="AF520" s="1338"/>
      <c r="AG520" s="129" t="s">
        <v>402</v>
      </c>
      <c r="AH520" s="1402"/>
      <c r="AI520" s="1402"/>
      <c r="AJ520" s="1402"/>
      <c r="AK520" s="1403"/>
      <c r="AZ520" s="3"/>
      <c r="BB520" s="3"/>
      <c r="BC520" s="3"/>
      <c r="BD520" s="3"/>
      <c r="BE520" s="3"/>
      <c r="BF520" s="3"/>
      <c r="BG520" s="3"/>
      <c r="BH520" s="3"/>
      <c r="BI520" s="3"/>
      <c r="BJ520" s="3"/>
      <c r="BK520" s="3"/>
      <c r="BL520" s="3"/>
      <c r="BM520" s="3"/>
      <c r="BN520" s="3" t="s">
        <v>2110</v>
      </c>
    </row>
    <row r="521" spans="2:66" ht="12.95" customHeight="1">
      <c r="B521" s="1672"/>
      <c r="C521" s="1432"/>
      <c r="D521" s="1432"/>
      <c r="E521" s="1432"/>
      <c r="F521" s="1432"/>
      <c r="G521" s="1432"/>
      <c r="H521" s="1433"/>
      <c r="I521" s="114" t="s">
        <v>420</v>
      </c>
      <c r="AB521" s="65"/>
      <c r="AC521" s="1661" t="s">
        <v>590</v>
      </c>
      <c r="AD521" s="1662"/>
      <c r="AE521" s="1662"/>
      <c r="AF521" s="1662"/>
      <c r="AG521" s="13" t="s">
        <v>402</v>
      </c>
      <c r="AH521" s="1402"/>
      <c r="AI521" s="1402"/>
      <c r="AJ521" s="1402"/>
      <c r="AK521" s="1403"/>
      <c r="AZ521" s="3"/>
      <c r="BB521" s="3"/>
      <c r="BC521" s="3"/>
      <c r="BD521" s="3"/>
      <c r="BE521" s="3"/>
      <c r="BF521" s="3"/>
      <c r="BG521" s="3"/>
      <c r="BH521" s="3"/>
      <c r="BI521" s="3"/>
      <c r="BJ521" s="3"/>
      <c r="BK521" s="3"/>
      <c r="BL521" s="3"/>
      <c r="BM521" s="3"/>
      <c r="BN521" s="3" t="s">
        <v>2111</v>
      </c>
    </row>
    <row r="522" spans="2:66" ht="12.95" customHeight="1">
      <c r="B522" s="1672"/>
      <c r="C522" s="1432"/>
      <c r="D522" s="1432"/>
      <c r="E522" s="1432"/>
      <c r="F522" s="1432"/>
      <c r="G522" s="1432"/>
      <c r="H522" s="1433"/>
      <c r="I522" s="47" t="s">
        <v>421</v>
      </c>
      <c r="J522" s="48"/>
      <c r="K522" s="48"/>
      <c r="L522" s="48"/>
      <c r="M522" s="48"/>
      <c r="N522" s="48"/>
      <c r="O522" s="48"/>
      <c r="P522" s="48"/>
      <c r="Q522" s="48"/>
      <c r="R522" s="48"/>
      <c r="S522" s="48"/>
      <c r="T522" s="48"/>
      <c r="U522" s="48"/>
      <c r="V522" s="48"/>
      <c r="W522" s="48"/>
      <c r="X522" s="48"/>
      <c r="Y522" s="48"/>
      <c r="Z522" s="48"/>
      <c r="AA522" s="48"/>
      <c r="AB522" s="49"/>
      <c r="AC522" s="1661" t="s">
        <v>590</v>
      </c>
      <c r="AD522" s="1662"/>
      <c r="AE522" s="1662"/>
      <c r="AF522" s="1662"/>
      <c r="AG522" s="38" t="s">
        <v>402</v>
      </c>
      <c r="AH522" s="1402"/>
      <c r="AI522" s="1402"/>
      <c r="AJ522" s="1402"/>
      <c r="AK522" s="1403"/>
      <c r="AZ522" s="3"/>
      <c r="BA522" s="3"/>
      <c r="BB522" s="3"/>
      <c r="BC522" s="3"/>
      <c r="BD522" s="3"/>
      <c r="BE522" s="3"/>
      <c r="BF522" s="3"/>
      <c r="BG522" s="3"/>
      <c r="BH522" s="3"/>
      <c r="BI522" s="3"/>
      <c r="BJ522" s="3"/>
      <c r="BK522" s="3"/>
      <c r="BL522" s="3"/>
      <c r="BM522" s="3"/>
      <c r="BN522" s="3" t="s">
        <v>2112</v>
      </c>
    </row>
    <row r="523" spans="2:66" ht="12.95" customHeight="1">
      <c r="B523" s="1672"/>
      <c r="C523" s="1432"/>
      <c r="D523" s="1432"/>
      <c r="E523" s="1432"/>
      <c r="F523" s="1432"/>
      <c r="G523" s="1432"/>
      <c r="H523" s="1433"/>
      <c r="I523" s="42" t="s">
        <v>422</v>
      </c>
      <c r="J523" s="42"/>
      <c r="K523" s="42"/>
      <c r="L523" s="42"/>
      <c r="M523" s="42"/>
      <c r="N523" s="42"/>
      <c r="O523" s="1749" t="s">
        <v>334</v>
      </c>
      <c r="P523" s="1750"/>
      <c r="Q523" s="1750"/>
      <c r="R523" s="1750"/>
      <c r="S523" s="1750"/>
      <c r="T523" s="1750"/>
      <c r="U523" s="1750"/>
      <c r="V523" s="1750"/>
      <c r="W523" s="1750"/>
      <c r="X523" s="1750"/>
      <c r="Y523" s="1750"/>
      <c r="Z523" s="1750"/>
      <c r="AA523" s="1750"/>
      <c r="AC523" s="1661" t="s">
        <v>590</v>
      </c>
      <c r="AD523" s="1662"/>
      <c r="AE523" s="1662"/>
      <c r="AF523" s="1662"/>
      <c r="AG523" s="13" t="s">
        <v>402</v>
      </c>
      <c r="AH523" s="1402"/>
      <c r="AI523" s="1402"/>
      <c r="AJ523" s="1402"/>
      <c r="AK523" s="1403"/>
      <c r="AZ523" s="3"/>
      <c r="BA523" s="3"/>
      <c r="BB523" s="3"/>
      <c r="BC523" s="3"/>
      <c r="BD523" s="3"/>
      <c r="BE523" s="3"/>
      <c r="BF523" s="3"/>
      <c r="BG523" s="3"/>
      <c r="BH523" s="3"/>
      <c r="BI523" s="3"/>
      <c r="BJ523" s="3"/>
      <c r="BK523" s="3"/>
      <c r="BL523" s="3"/>
      <c r="BM523" s="3"/>
      <c r="BN523" s="3" t="s">
        <v>2113</v>
      </c>
    </row>
    <row r="524" spans="2:66" ht="12.95" customHeight="1">
      <c r="B524" s="1672"/>
      <c r="C524" s="1432"/>
      <c r="D524" s="1432"/>
      <c r="E524" s="1432"/>
      <c r="F524" s="1432"/>
      <c r="G524" s="1432"/>
      <c r="H524" s="1433"/>
      <c r="I524" t="s">
        <v>420</v>
      </c>
      <c r="AC524" s="1661" t="s">
        <v>590</v>
      </c>
      <c r="AD524" s="1662"/>
      <c r="AE524" s="1662"/>
      <c r="AF524" s="1662"/>
      <c r="AG524" s="13" t="s">
        <v>402</v>
      </c>
      <c r="AH524" s="1402"/>
      <c r="AI524" s="1402"/>
      <c r="AJ524" s="1402"/>
      <c r="AK524" s="1403"/>
      <c r="AZ524" s="3"/>
      <c r="BA524" s="3"/>
      <c r="BB524" s="3"/>
      <c r="BC524" s="3"/>
      <c r="BD524" s="3"/>
      <c r="BE524" s="3"/>
      <c r="BF524" s="3"/>
      <c r="BG524" s="3"/>
      <c r="BH524" s="3"/>
      <c r="BI524" s="3"/>
      <c r="BJ524" s="3"/>
      <c r="BK524" s="3"/>
      <c r="BL524" s="3"/>
      <c r="BM524" s="3"/>
      <c r="BN524" s="3" t="s">
        <v>2114</v>
      </c>
    </row>
    <row r="525" spans="2:66" ht="12.95" customHeight="1">
      <c r="B525" s="1672"/>
      <c r="C525" s="1432"/>
      <c r="D525" s="1432"/>
      <c r="E525" s="1432"/>
      <c r="F525" s="1432"/>
      <c r="G525" s="1432"/>
      <c r="H525" s="1433"/>
      <c r="I525" s="48" t="s">
        <v>421</v>
      </c>
      <c r="J525" s="48"/>
      <c r="K525" s="48"/>
      <c r="L525" s="48"/>
      <c r="M525" s="48"/>
      <c r="N525" s="48"/>
      <c r="O525" s="48"/>
      <c r="P525" s="48"/>
      <c r="Q525" s="48"/>
      <c r="R525" s="48"/>
      <c r="S525" s="48"/>
      <c r="T525" s="48"/>
      <c r="U525" s="48"/>
      <c r="V525" s="48"/>
      <c r="W525" s="48"/>
      <c r="X525" s="48"/>
      <c r="Y525" s="48"/>
      <c r="Z525" s="48"/>
      <c r="AA525" s="48"/>
      <c r="AB525" s="48"/>
      <c r="AC525" s="1661" t="s">
        <v>590</v>
      </c>
      <c r="AD525" s="1662"/>
      <c r="AE525" s="1662"/>
      <c r="AF525" s="1662"/>
      <c r="AG525" s="38" t="s">
        <v>402</v>
      </c>
      <c r="AH525" s="1402"/>
      <c r="AI525" s="1402"/>
      <c r="AJ525" s="1402"/>
      <c r="AK525" s="1403"/>
      <c r="AZ525" s="3"/>
      <c r="BA525" s="3"/>
      <c r="BB525" s="3"/>
      <c r="BC525" s="3"/>
      <c r="BD525" s="3"/>
      <c r="BE525" s="3"/>
      <c r="BF525" s="3"/>
      <c r="BG525" s="3"/>
      <c r="BH525" s="3"/>
      <c r="BI525" s="3"/>
      <c r="BJ525" s="3"/>
      <c r="BK525" s="3"/>
      <c r="BL525" s="3"/>
      <c r="BM525" s="3"/>
      <c r="BN525" s="3" t="s">
        <v>2115</v>
      </c>
    </row>
    <row r="526" spans="2:66" ht="12.95" customHeight="1">
      <c r="B526" s="1672"/>
      <c r="C526" s="1432"/>
      <c r="D526" s="1432"/>
      <c r="E526" s="1432"/>
      <c r="F526" s="1432"/>
      <c r="G526" s="1432"/>
      <c r="H526" s="1433"/>
      <c r="I526" s="42" t="s">
        <v>422</v>
      </c>
      <c r="J526" s="42"/>
      <c r="K526" s="42"/>
      <c r="L526" s="42"/>
      <c r="M526" s="42"/>
      <c r="N526" s="42"/>
      <c r="O526" s="1749" t="s">
        <v>334</v>
      </c>
      <c r="P526" s="1750"/>
      <c r="Q526" s="1750"/>
      <c r="R526" s="1750"/>
      <c r="S526" s="1750"/>
      <c r="T526" s="1750"/>
      <c r="U526" s="1750"/>
      <c r="V526" s="1750"/>
      <c r="W526" s="1750"/>
      <c r="X526" s="1750"/>
      <c r="Y526" s="1750"/>
      <c r="Z526" s="1750"/>
      <c r="AA526" s="1750"/>
      <c r="AC526" s="1661" t="s">
        <v>590</v>
      </c>
      <c r="AD526" s="1662"/>
      <c r="AE526" s="1662"/>
      <c r="AF526" s="1662"/>
      <c r="AG526" s="13" t="s">
        <v>402</v>
      </c>
      <c r="AH526" s="1402"/>
      <c r="AI526" s="1402"/>
      <c r="AJ526" s="1402"/>
      <c r="AK526" s="1403"/>
      <c r="AZ526" s="3"/>
      <c r="BA526" s="3"/>
      <c r="BB526" s="3"/>
      <c r="BC526" s="3"/>
      <c r="BD526" s="3"/>
      <c r="BE526" s="3"/>
      <c r="BF526" s="3"/>
      <c r="BG526" s="3"/>
      <c r="BH526" s="3"/>
      <c r="BI526" s="3"/>
      <c r="BJ526" s="3"/>
      <c r="BK526" s="3"/>
      <c r="BL526" s="3"/>
      <c r="BM526" s="3"/>
      <c r="BN526" s="3" t="s">
        <v>2116</v>
      </c>
    </row>
    <row r="527" spans="2:66" ht="12.95" customHeight="1">
      <c r="B527" s="1672"/>
      <c r="C527" s="1432"/>
      <c r="D527" s="1432"/>
      <c r="E527" s="1432"/>
      <c r="F527" s="1432"/>
      <c r="G527" s="1432"/>
      <c r="H527" s="1433"/>
      <c r="I527" t="s">
        <v>420</v>
      </c>
      <c r="AC527" s="1661" t="s">
        <v>590</v>
      </c>
      <c r="AD527" s="1662"/>
      <c r="AE527" s="1662"/>
      <c r="AF527" s="1662"/>
      <c r="AG527" s="13" t="s">
        <v>402</v>
      </c>
      <c r="AH527" s="1402"/>
      <c r="AI527" s="1402"/>
      <c r="AJ527" s="1402"/>
      <c r="AK527" s="1403"/>
      <c r="AZ527" s="3"/>
      <c r="BA527" s="3"/>
      <c r="BB527" s="3"/>
      <c r="BC527" s="3"/>
      <c r="BD527" s="3"/>
      <c r="BE527" s="3"/>
      <c r="BF527" s="3"/>
      <c r="BG527" s="3"/>
      <c r="BH527" s="3"/>
      <c r="BI527" s="3"/>
      <c r="BJ527" s="3"/>
      <c r="BK527" s="3"/>
      <c r="BL527" s="3"/>
      <c r="BM527" s="3"/>
      <c r="BN527" s="3" t="s">
        <v>2117</v>
      </c>
    </row>
    <row r="528" spans="2:66" ht="12.95" customHeight="1">
      <c r="B528" s="1672"/>
      <c r="C528" s="1432"/>
      <c r="D528" s="1432"/>
      <c r="E528" s="1432"/>
      <c r="F528" s="1432"/>
      <c r="G528" s="1432"/>
      <c r="H528" s="1433"/>
      <c r="I528" s="48" t="s">
        <v>421</v>
      </c>
      <c r="J528" s="48"/>
      <c r="K528" s="48"/>
      <c r="L528" s="48"/>
      <c r="M528" s="48"/>
      <c r="N528" s="48"/>
      <c r="O528" s="48"/>
      <c r="P528" s="48"/>
      <c r="Q528" s="48"/>
      <c r="R528" s="48"/>
      <c r="S528" s="48"/>
      <c r="T528" s="48"/>
      <c r="U528" s="48"/>
      <c r="V528" s="48"/>
      <c r="W528" s="48"/>
      <c r="X528" s="48"/>
      <c r="Y528" s="48"/>
      <c r="Z528" s="48"/>
      <c r="AA528" s="48"/>
      <c r="AB528" s="48"/>
      <c r="AC528" s="1661" t="s">
        <v>590</v>
      </c>
      <c r="AD528" s="1662"/>
      <c r="AE528" s="1662"/>
      <c r="AF528" s="1662"/>
      <c r="AG528" s="38" t="s">
        <v>402</v>
      </c>
      <c r="AH528" s="1402"/>
      <c r="AI528" s="1402"/>
      <c r="AJ528" s="1402"/>
      <c r="AK528" s="1403"/>
      <c r="AZ528" s="3"/>
      <c r="BA528" s="3"/>
      <c r="BB528" s="3"/>
      <c r="BC528" s="3"/>
      <c r="BD528" s="3"/>
      <c r="BE528" s="3"/>
      <c r="BF528" s="3"/>
      <c r="BG528" s="3"/>
      <c r="BH528" s="3"/>
      <c r="BI528" s="3"/>
      <c r="BJ528" s="3"/>
      <c r="BK528" s="3"/>
      <c r="BL528" s="3"/>
      <c r="BM528" s="3"/>
      <c r="BN528" s="3" t="s">
        <v>2118</v>
      </c>
    </row>
    <row r="529" spans="1:66" ht="12.95" customHeight="1">
      <c r="B529" s="1672"/>
      <c r="C529" s="1432"/>
      <c r="D529" s="1432"/>
      <c r="E529" s="1432"/>
      <c r="F529" s="1432"/>
      <c r="G529" s="1432"/>
      <c r="H529" s="1433"/>
      <c r="I529" s="42" t="s">
        <v>422</v>
      </c>
      <c r="J529" s="42"/>
      <c r="K529" s="42"/>
      <c r="L529" s="42"/>
      <c r="M529" s="42"/>
      <c r="N529" s="42"/>
      <c r="O529" s="1749" t="s">
        <v>334</v>
      </c>
      <c r="P529" s="1750"/>
      <c r="Q529" s="1750"/>
      <c r="R529" s="1750"/>
      <c r="S529" s="1750"/>
      <c r="T529" s="1750"/>
      <c r="U529" s="1750"/>
      <c r="V529" s="1750"/>
      <c r="W529" s="1750"/>
      <c r="X529" s="1750"/>
      <c r="Y529" s="1750"/>
      <c r="Z529" s="1750"/>
      <c r="AA529" s="1750"/>
      <c r="AC529" s="1661" t="s">
        <v>590</v>
      </c>
      <c r="AD529" s="1662"/>
      <c r="AE529" s="1662"/>
      <c r="AF529" s="1662"/>
      <c r="AG529" s="13" t="s">
        <v>402</v>
      </c>
      <c r="AH529" s="1402"/>
      <c r="AI529" s="1402"/>
      <c r="AJ529" s="1402"/>
      <c r="AK529" s="1403"/>
      <c r="AZ529" s="3"/>
      <c r="BA529" s="3"/>
      <c r="BB529" s="3"/>
      <c r="BC529" s="3"/>
      <c r="BD529" s="3"/>
      <c r="BE529" s="3"/>
      <c r="BF529" s="3"/>
      <c r="BG529" s="3"/>
      <c r="BH529" s="3"/>
      <c r="BI529" s="3"/>
      <c r="BJ529" s="3"/>
      <c r="BK529" s="3"/>
      <c r="BL529" s="3"/>
      <c r="BM529" s="3"/>
      <c r="BN529" s="3" t="s">
        <v>2119</v>
      </c>
    </row>
    <row r="530" spans="1:66" ht="12.95" customHeight="1">
      <c r="B530" s="1672"/>
      <c r="C530" s="1432"/>
      <c r="D530" s="1432"/>
      <c r="E530" s="1432"/>
      <c r="F530" s="1432"/>
      <c r="G530" s="1432"/>
      <c r="H530" s="1433"/>
      <c r="I530" t="s">
        <v>420</v>
      </c>
      <c r="AC530" s="1661" t="s">
        <v>590</v>
      </c>
      <c r="AD530" s="1662"/>
      <c r="AE530" s="1662"/>
      <c r="AF530" s="1662"/>
      <c r="AG530" s="13" t="s">
        <v>402</v>
      </c>
      <c r="AH530" s="1402"/>
      <c r="AI530" s="1402"/>
      <c r="AJ530" s="1402"/>
      <c r="AK530" s="1403"/>
      <c r="AZ530" s="3"/>
      <c r="BA530" s="3"/>
      <c r="BB530" s="3"/>
      <c r="BC530" s="3"/>
      <c r="BD530" s="3"/>
      <c r="BE530" s="3"/>
      <c r="BF530" s="3"/>
      <c r="BG530" s="3"/>
      <c r="BH530" s="3"/>
      <c r="BI530" s="3"/>
      <c r="BJ530" s="3"/>
      <c r="BK530" s="3"/>
      <c r="BL530" s="3"/>
      <c r="BM530" s="3"/>
      <c r="BN530" s="3" t="s">
        <v>2120</v>
      </c>
    </row>
    <row r="531" spans="1:66" ht="12.95" customHeight="1">
      <c r="B531" s="1672"/>
      <c r="C531" s="1432"/>
      <c r="D531" s="1432"/>
      <c r="E531" s="1432"/>
      <c r="F531" s="1432"/>
      <c r="G531" s="1432"/>
      <c r="H531" s="1433"/>
      <c r="I531" s="48" t="s">
        <v>421</v>
      </c>
      <c r="J531" s="48"/>
      <c r="K531" s="48"/>
      <c r="L531" s="48"/>
      <c r="M531" s="48"/>
      <c r="N531" s="48"/>
      <c r="O531" s="48"/>
      <c r="P531" s="48"/>
      <c r="Q531" s="48"/>
      <c r="R531" s="48"/>
      <c r="S531" s="48"/>
      <c r="T531" s="48"/>
      <c r="U531" s="48"/>
      <c r="V531" s="48"/>
      <c r="W531" s="48"/>
      <c r="X531" s="48"/>
      <c r="Y531" s="48"/>
      <c r="Z531" s="48"/>
      <c r="AA531" s="48"/>
      <c r="AB531" s="48"/>
      <c r="AC531" s="1661" t="s">
        <v>590</v>
      </c>
      <c r="AD531" s="1662"/>
      <c r="AE531" s="1662"/>
      <c r="AF531" s="1662"/>
      <c r="AG531" s="38" t="s">
        <v>402</v>
      </c>
      <c r="AH531" s="1402"/>
      <c r="AI531" s="1402"/>
      <c r="AJ531" s="1402"/>
      <c r="AK531" s="1403"/>
      <c r="AZ531" s="3"/>
      <c r="BA531" s="3"/>
      <c r="BB531" s="3"/>
      <c r="BC531" s="3"/>
      <c r="BD531" s="3"/>
      <c r="BE531" s="3"/>
      <c r="BF531" s="3"/>
      <c r="BG531" s="3"/>
      <c r="BH531" s="3"/>
      <c r="BI531" s="3"/>
      <c r="BJ531" s="3"/>
      <c r="BK531" s="3"/>
      <c r="BL531" s="3"/>
      <c r="BM531" s="3"/>
      <c r="BN531" s="3" t="s">
        <v>2121</v>
      </c>
    </row>
    <row r="532" spans="1:66" ht="12.95" customHeight="1">
      <c r="B532" s="1672"/>
      <c r="C532" s="1432"/>
      <c r="D532" s="1432"/>
      <c r="E532" s="1432"/>
      <c r="F532" s="1432"/>
      <c r="G532" s="1432"/>
      <c r="H532" s="1433"/>
      <c r="I532" s="42" t="s">
        <v>422</v>
      </c>
      <c r="J532" s="42"/>
      <c r="K532" s="42"/>
      <c r="L532" s="42"/>
      <c r="M532" s="42"/>
      <c r="N532" s="42"/>
      <c r="O532" s="1749" t="s">
        <v>334</v>
      </c>
      <c r="P532" s="1750"/>
      <c r="Q532" s="1750"/>
      <c r="R532" s="1750"/>
      <c r="S532" s="1750"/>
      <c r="T532" s="1750"/>
      <c r="U532" s="1750"/>
      <c r="V532" s="1750"/>
      <c r="W532" s="1750"/>
      <c r="X532" s="1750"/>
      <c r="Y532" s="1750"/>
      <c r="Z532" s="1750"/>
      <c r="AA532" s="1750"/>
      <c r="AC532" s="1661" t="s">
        <v>590</v>
      </c>
      <c r="AD532" s="1662"/>
      <c r="AE532" s="1662"/>
      <c r="AF532" s="1662"/>
      <c r="AG532" s="13" t="s">
        <v>402</v>
      </c>
      <c r="AH532" s="1402"/>
      <c r="AI532" s="1402"/>
      <c r="AJ532" s="1402"/>
      <c r="AK532" s="1403"/>
      <c r="AZ532" s="3"/>
      <c r="BA532" s="3"/>
      <c r="BB532" s="3"/>
      <c r="BC532" s="3"/>
      <c r="BD532" s="3"/>
      <c r="BE532" s="3"/>
      <c r="BF532" s="3"/>
      <c r="BG532" s="3"/>
      <c r="BH532" s="3"/>
      <c r="BI532" s="3"/>
      <c r="BJ532" s="3"/>
      <c r="BK532" s="3"/>
      <c r="BL532" s="3"/>
      <c r="BM532" s="3"/>
      <c r="BN532" s="3" t="s">
        <v>2122</v>
      </c>
    </row>
    <row r="533" spans="1:66" ht="12.95" customHeight="1">
      <c r="B533" s="1672"/>
      <c r="C533" s="1432"/>
      <c r="D533" s="1432"/>
      <c r="E533" s="1432"/>
      <c r="F533" s="1432"/>
      <c r="G533" s="1432"/>
      <c r="H533" s="1433"/>
      <c r="I533" t="s">
        <v>420</v>
      </c>
      <c r="AC533" s="1661" t="s">
        <v>590</v>
      </c>
      <c r="AD533" s="1662"/>
      <c r="AE533" s="1662"/>
      <c r="AF533" s="1662"/>
      <c r="AG533" s="38" t="s">
        <v>402</v>
      </c>
      <c r="AH533" s="1402"/>
      <c r="AI533" s="1402"/>
      <c r="AJ533" s="1402"/>
      <c r="AK533" s="1403"/>
      <c r="AZ533" s="3"/>
      <c r="BA533" s="3"/>
      <c r="BB533" s="3"/>
      <c r="BC533" s="3"/>
      <c r="BD533" s="3"/>
      <c r="BE533" s="3"/>
      <c r="BF533" s="3"/>
      <c r="BG533" s="3"/>
      <c r="BH533" s="3"/>
      <c r="BI533" s="3"/>
      <c r="BJ533" s="3"/>
      <c r="BK533" s="3"/>
      <c r="BL533" s="3"/>
      <c r="BM533" s="3"/>
      <c r="BN533" s="3" t="s">
        <v>2123</v>
      </c>
    </row>
    <row r="534" spans="1:66" ht="12.95" customHeight="1">
      <c r="B534" s="1672"/>
      <c r="C534" s="1432"/>
      <c r="D534" s="1432"/>
      <c r="E534" s="1432"/>
      <c r="F534" s="1432"/>
      <c r="G534" s="1432"/>
      <c r="H534" s="1433"/>
      <c r="I534" s="48" t="s">
        <v>421</v>
      </c>
      <c r="J534" s="48"/>
      <c r="K534" s="48"/>
      <c r="L534" s="48"/>
      <c r="M534" s="48"/>
      <c r="N534" s="48"/>
      <c r="O534" s="48"/>
      <c r="P534" s="48"/>
      <c r="Q534" s="48"/>
      <c r="R534" s="48"/>
      <c r="S534" s="48"/>
      <c r="T534" s="48"/>
      <c r="U534" s="48"/>
      <c r="V534" s="48"/>
      <c r="W534" s="48"/>
      <c r="X534" s="48"/>
      <c r="Y534" s="48"/>
      <c r="Z534" s="48"/>
      <c r="AA534" s="48"/>
      <c r="AB534" s="48"/>
      <c r="AC534" s="1661" t="s">
        <v>590</v>
      </c>
      <c r="AD534" s="1662"/>
      <c r="AE534" s="1662"/>
      <c r="AF534" s="1662"/>
      <c r="AG534" s="13" t="s">
        <v>402</v>
      </c>
      <c r="AH534" s="1402"/>
      <c r="AI534" s="1402"/>
      <c r="AJ534" s="1402"/>
      <c r="AK534" s="1403"/>
      <c r="AZ534" s="3"/>
      <c r="BA534" s="3"/>
      <c r="BB534" s="3"/>
      <c r="BC534" s="3"/>
      <c r="BD534" s="3"/>
      <c r="BE534" s="3"/>
      <c r="BF534" s="3"/>
      <c r="BG534" s="3"/>
      <c r="BH534" s="3"/>
      <c r="BI534" s="3"/>
      <c r="BJ534" s="3"/>
      <c r="BK534" s="3"/>
      <c r="BL534" s="3"/>
      <c r="BM534" s="3"/>
      <c r="BN534" s="3" t="s">
        <v>2124</v>
      </c>
    </row>
    <row r="535" spans="1:66" ht="12.95" customHeight="1">
      <c r="B535" s="1672"/>
      <c r="C535" s="1432"/>
      <c r="D535" s="1432"/>
      <c r="E535" s="1432"/>
      <c r="F535" s="1432"/>
      <c r="G535" s="1432"/>
      <c r="H535" s="1433"/>
      <c r="I535" s="42" t="s">
        <v>422</v>
      </c>
      <c r="J535" s="42"/>
      <c r="K535" s="42"/>
      <c r="L535" s="42"/>
      <c r="M535" s="42"/>
      <c r="N535" s="42"/>
      <c r="O535" s="1749" t="s">
        <v>334</v>
      </c>
      <c r="P535" s="1750"/>
      <c r="Q535" s="1750"/>
      <c r="R535" s="1750"/>
      <c r="S535" s="1750"/>
      <c r="T535" s="1750"/>
      <c r="U535" s="1750"/>
      <c r="V535" s="1750"/>
      <c r="W535" s="1750"/>
      <c r="X535" s="1750"/>
      <c r="Y535" s="1750"/>
      <c r="Z535" s="1750"/>
      <c r="AA535" s="1750"/>
      <c r="AC535" s="1661" t="s">
        <v>590</v>
      </c>
      <c r="AD535" s="1662"/>
      <c r="AE535" s="1662"/>
      <c r="AF535" s="1662"/>
      <c r="AG535" s="38" t="s">
        <v>402</v>
      </c>
      <c r="AH535" s="1402"/>
      <c r="AI535" s="1402"/>
      <c r="AJ535" s="1402"/>
      <c r="AK535" s="1403"/>
      <c r="AZ535" s="3"/>
      <c r="BA535" s="3"/>
      <c r="BB535" s="3"/>
      <c r="BC535" s="3"/>
      <c r="BD535" s="3"/>
      <c r="BE535" s="3"/>
      <c r="BF535" s="3"/>
      <c r="BG535" s="3"/>
      <c r="BH535" s="3"/>
      <c r="BI535" s="3"/>
      <c r="BJ535" s="3"/>
      <c r="BK535" s="3"/>
      <c r="BL535" s="3"/>
      <c r="BM535" s="3"/>
      <c r="BN535" s="3" t="s">
        <v>2125</v>
      </c>
    </row>
    <row r="536" spans="1:66" ht="12.95" customHeight="1">
      <c r="B536" s="1672"/>
      <c r="C536" s="1432"/>
      <c r="D536" s="1432"/>
      <c r="E536" s="1432"/>
      <c r="F536" s="1432"/>
      <c r="G536" s="1432"/>
      <c r="H536" s="1433"/>
      <c r="I536" t="s">
        <v>420</v>
      </c>
      <c r="AC536" s="1661" t="s">
        <v>590</v>
      </c>
      <c r="AD536" s="1662"/>
      <c r="AE536" s="1662"/>
      <c r="AF536" s="1662"/>
      <c r="AG536" s="13" t="s">
        <v>402</v>
      </c>
      <c r="AH536" s="1402"/>
      <c r="AI536" s="1402"/>
      <c r="AJ536" s="1402"/>
      <c r="AK536" s="1403"/>
      <c r="AZ536" s="3"/>
      <c r="BA536" s="3"/>
      <c r="BB536" s="3"/>
      <c r="BC536" s="3"/>
      <c r="BD536" s="3"/>
      <c r="BE536" s="3"/>
      <c r="BF536" s="3"/>
      <c r="BG536" s="3"/>
      <c r="BH536" s="3"/>
      <c r="BI536" s="3"/>
      <c r="BJ536" s="3"/>
      <c r="BK536" s="3"/>
      <c r="BL536" s="3"/>
      <c r="BM536" s="3"/>
      <c r="BN536" s="3" t="s">
        <v>2126</v>
      </c>
    </row>
    <row r="537" spans="1:66" ht="12.95" customHeight="1">
      <c r="B537" s="1672"/>
      <c r="C537" s="1432"/>
      <c r="D537" s="1432"/>
      <c r="E537" s="1432"/>
      <c r="F537" s="1432"/>
      <c r="G537" s="1432"/>
      <c r="H537" s="1433"/>
      <c r="I537" s="48" t="s">
        <v>421</v>
      </c>
      <c r="J537" s="48"/>
      <c r="K537" s="48"/>
      <c r="L537" s="48"/>
      <c r="M537" s="48"/>
      <c r="N537" s="48"/>
      <c r="O537" s="48"/>
      <c r="P537" s="48"/>
      <c r="Q537" s="48"/>
      <c r="R537" s="48"/>
      <c r="S537" s="48"/>
      <c r="T537" s="48"/>
      <c r="U537" s="48"/>
      <c r="V537" s="48"/>
      <c r="W537" s="48"/>
      <c r="X537" s="48"/>
      <c r="Y537" s="48"/>
      <c r="Z537" s="48"/>
      <c r="AA537" s="48"/>
      <c r="AB537" s="48"/>
      <c r="AC537" s="1661" t="s">
        <v>590</v>
      </c>
      <c r="AD537" s="1662"/>
      <c r="AE537" s="1662"/>
      <c r="AF537" s="1662"/>
      <c r="AG537" s="38" t="s">
        <v>402</v>
      </c>
      <c r="AH537" s="1402"/>
      <c r="AI537" s="1402"/>
      <c r="AJ537" s="1402"/>
      <c r="AK537" s="1403"/>
      <c r="AZ537" s="3"/>
      <c r="BA537" s="3"/>
      <c r="BB537" s="3"/>
      <c r="BC537" s="3"/>
      <c r="BD537" s="3"/>
      <c r="BE537" s="3"/>
      <c r="BF537" s="3"/>
      <c r="BG537" s="3"/>
      <c r="BH537" s="3"/>
      <c r="BI537" s="3"/>
      <c r="BJ537" s="3"/>
      <c r="BK537" s="3"/>
      <c r="BL537" s="3"/>
      <c r="BM537" s="3"/>
      <c r="BN537" s="3" t="s">
        <v>2127</v>
      </c>
    </row>
    <row r="538" spans="1:66" ht="12.95" customHeight="1">
      <c r="B538" s="1672"/>
      <c r="C538" s="1432"/>
      <c r="D538" s="1432"/>
      <c r="E538" s="1432"/>
      <c r="F538" s="1432"/>
      <c r="G538" s="1432"/>
      <c r="H538" s="1433"/>
      <c r="I538" s="42" t="s">
        <v>561</v>
      </c>
      <c r="J538" s="42"/>
      <c r="K538" s="42"/>
      <c r="L538" s="42"/>
      <c r="M538" s="42"/>
      <c r="N538" s="42"/>
      <c r="O538" s="42"/>
      <c r="P538" s="42"/>
      <c r="Q538" s="42"/>
      <c r="R538" s="42"/>
      <c r="S538" s="42"/>
      <c r="T538" s="42"/>
      <c r="U538" s="42"/>
      <c r="V538" s="42"/>
      <c r="W538" s="42"/>
      <c r="AC538" s="1661" t="s">
        <v>590</v>
      </c>
      <c r="AD538" s="1662"/>
      <c r="AE538" s="1662"/>
      <c r="AF538" s="1662"/>
      <c r="AG538" s="38" t="s">
        <v>402</v>
      </c>
      <c r="AH538" s="1402"/>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562</v>
      </c>
      <c r="AC539" s="1661" t="s">
        <v>590</v>
      </c>
      <c r="AD539" s="1662"/>
      <c r="AE539" s="1662"/>
      <c r="AF539" s="1662"/>
      <c r="AG539" s="13" t="s">
        <v>402</v>
      </c>
      <c r="AH539" s="1402"/>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563</v>
      </c>
      <c r="AC540" s="1661" t="s">
        <v>590</v>
      </c>
      <c r="AD540" s="1662"/>
      <c r="AE540" s="1662"/>
      <c r="AF540" s="1662"/>
      <c r="AG540" s="38" t="s">
        <v>402</v>
      </c>
      <c r="AH540" s="1402"/>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564</v>
      </c>
      <c r="AC541" s="1661" t="s">
        <v>590</v>
      </c>
      <c r="AD541" s="1662"/>
      <c r="AE541" s="1662"/>
      <c r="AF541" s="1662"/>
      <c r="AG541" s="38" t="s">
        <v>402</v>
      </c>
      <c r="AH541" s="1402"/>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450</v>
      </c>
      <c r="J542" s="48"/>
      <c r="K542" s="48"/>
      <c r="L542" s="48"/>
      <c r="M542" s="48"/>
      <c r="N542" s="48"/>
      <c r="O542" s="48"/>
      <c r="P542" s="48"/>
      <c r="Q542" s="48"/>
      <c r="R542" s="48"/>
      <c r="S542" s="48"/>
      <c r="T542" s="48"/>
      <c r="U542" s="48"/>
      <c r="V542" s="48"/>
      <c r="W542" s="48"/>
      <c r="X542" s="48"/>
      <c r="Y542" s="48"/>
      <c r="Z542" s="48"/>
      <c r="AA542" s="48"/>
      <c r="AB542" s="48"/>
      <c r="AC542" s="1661" t="s">
        <v>590</v>
      </c>
      <c r="AD542" s="1662"/>
      <c r="AE542" s="1662"/>
      <c r="AF542" s="1662"/>
      <c r="AG542" s="38" t="s">
        <v>402</v>
      </c>
      <c r="AH542" s="1402"/>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542</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2101</v>
      </c>
      <c r="C551" s="1430"/>
      <c r="D551" s="1430"/>
      <c r="E551" s="1430"/>
      <c r="F551" s="1430"/>
      <c r="G551" s="1430"/>
      <c r="H551" s="1430"/>
      <c r="I551" s="1430"/>
      <c r="J551" s="1430"/>
      <c r="K551" s="1430"/>
      <c r="L551" s="1431"/>
      <c r="M551" s="1671" t="s">
        <v>2102</v>
      </c>
      <c r="N551" s="1430"/>
      <c r="O551" s="1430"/>
      <c r="P551" s="1431"/>
      <c r="Q551" s="1671" t="s">
        <v>2128</v>
      </c>
      <c r="R551" s="1430"/>
      <c r="S551" s="1431"/>
      <c r="T551" s="1671" t="s">
        <v>2129</v>
      </c>
      <c r="U551" s="1430"/>
      <c r="V551" s="1431"/>
      <c r="W551" s="1671" t="s">
        <v>452</v>
      </c>
      <c r="X551" s="1430"/>
      <c r="Y551" s="1431"/>
      <c r="Z551" s="1671" t="s">
        <v>1850</v>
      </c>
      <c r="AA551" s="1430"/>
      <c r="AB551" s="1430"/>
      <c r="AC551" s="1430"/>
      <c r="AD551" s="1431"/>
      <c r="AE551" s="1671" t="s">
        <v>1675</v>
      </c>
      <c r="AF551" s="1430"/>
      <c r="AG551" s="1430"/>
      <c r="AH551" s="1431"/>
      <c r="AI551" s="1671" t="s">
        <v>1676</v>
      </c>
      <c r="AJ551" s="1430"/>
      <c r="AK551" s="1430"/>
      <c r="AL551" s="1431"/>
      <c r="AM551" s="1671" t="s">
        <v>453</v>
      </c>
      <c r="AN551" s="1430"/>
      <c r="AO551" s="1430"/>
      <c r="AP551" s="1430"/>
      <c r="AQ551" s="1430"/>
      <c r="AR551" s="1430"/>
      <c r="AS551" s="1431"/>
      <c r="BB551" s="3"/>
      <c r="BC551" s="3"/>
      <c r="BD551" s="3"/>
      <c r="BE551" s="3"/>
      <c r="BF551" s="3"/>
      <c r="BG551" s="3"/>
      <c r="BH551" s="3" t="s">
        <v>580</v>
      </c>
      <c r="BI551" s="3" t="str">
        <f>AG657</f>
        <v>Yes</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2" t="s">
        <v>2694</v>
      </c>
      <c r="D554" s="1692"/>
      <c r="E554" s="1692"/>
      <c r="F554" s="1692"/>
      <c r="G554" s="1692"/>
      <c r="H554" s="1692"/>
      <c r="I554" s="1692"/>
      <c r="J554" s="1692"/>
      <c r="K554" s="1692"/>
      <c r="L554" s="1692"/>
      <c r="M554" s="1692" t="s">
        <v>2118</v>
      </c>
      <c r="N554" s="1692"/>
      <c r="O554" s="1692"/>
      <c r="P554" s="1692"/>
      <c r="Q554" s="1452">
        <v>24</v>
      </c>
      <c r="R554" s="1452"/>
      <c r="S554" s="1453"/>
      <c r="T554" s="1451"/>
      <c r="U554" s="1452"/>
      <c r="V554" s="1453"/>
      <c r="W554" s="1454">
        <v>5.5E-2</v>
      </c>
      <c r="X554" s="1455"/>
      <c r="Y554" s="1456"/>
      <c r="Z554" s="1693" t="s">
        <v>2698</v>
      </c>
      <c r="AA554" s="1693"/>
      <c r="AB554" s="1693"/>
      <c r="AC554" s="1693"/>
      <c r="AD554" s="1693"/>
      <c r="AE554" s="1674">
        <v>1</v>
      </c>
      <c r="AF554" s="1675"/>
      <c r="AG554" s="1675"/>
      <c r="AH554" s="1676"/>
      <c r="AI554" s="1677">
        <f>+AM554*W554</f>
        <v>892650</v>
      </c>
      <c r="AJ554" s="1678"/>
      <c r="AK554" s="1678"/>
      <c r="AL554" s="1679"/>
      <c r="AM554" s="1667">
        <v>16230000</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2695</v>
      </c>
      <c r="D555" s="1680"/>
      <c r="E555" s="1680"/>
      <c r="F555" s="1680"/>
      <c r="G555" s="1680"/>
      <c r="H555" s="1680"/>
      <c r="I555" s="1680"/>
      <c r="J555" s="1680"/>
      <c r="K555" s="1680"/>
      <c r="L555" s="1680"/>
      <c r="M555" s="1692" t="s">
        <v>2119</v>
      </c>
      <c r="N555" s="1692"/>
      <c r="O555" s="1692"/>
      <c r="P555" s="1692"/>
      <c r="Q555" s="1451">
        <v>24</v>
      </c>
      <c r="R555" s="1452"/>
      <c r="S555" s="1453"/>
      <c r="T555" s="1451"/>
      <c r="U555" s="1452"/>
      <c r="V555" s="1453"/>
      <c r="W555" s="1454">
        <v>5.5E-2</v>
      </c>
      <c r="X555" s="1455"/>
      <c r="Y555" s="1456"/>
      <c r="Z555" s="1693" t="s">
        <v>2698</v>
      </c>
      <c r="AA555" s="1693"/>
      <c r="AB555" s="1693"/>
      <c r="AC555" s="1693"/>
      <c r="AD555" s="1693"/>
      <c r="AE555" s="1674">
        <v>1</v>
      </c>
      <c r="AF555" s="1675"/>
      <c r="AG555" s="1675"/>
      <c r="AH555" s="1676"/>
      <c r="AI555" s="1677">
        <f t="shared" ref="AI555" si="0">+AM555*W555</f>
        <v>302500</v>
      </c>
      <c r="AJ555" s="1678"/>
      <c r="AK555" s="1678"/>
      <c r="AL555" s="1679"/>
      <c r="AM555" s="1667">
        <v>5500000</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80" t="s">
        <v>2696</v>
      </c>
      <c r="D556" s="1680"/>
      <c r="E556" s="1680"/>
      <c r="F556" s="1680"/>
      <c r="G556" s="1680"/>
      <c r="H556" s="1680"/>
      <c r="I556" s="1680"/>
      <c r="J556" s="1680"/>
      <c r="K556" s="1680"/>
      <c r="L556" s="1680"/>
      <c r="M556" s="1692" t="s">
        <v>2117</v>
      </c>
      <c r="N556" s="1692"/>
      <c r="O556" s="1692"/>
      <c r="P556" s="1692"/>
      <c r="Q556" s="1451">
        <v>24</v>
      </c>
      <c r="R556" s="1452"/>
      <c r="S556" s="1453"/>
      <c r="T556" s="1451"/>
      <c r="U556" s="1452"/>
      <c r="V556" s="1453"/>
      <c r="W556" s="1454">
        <v>0.06</v>
      </c>
      <c r="X556" s="1455"/>
      <c r="Y556" s="1456"/>
      <c r="Z556" s="1693" t="s">
        <v>2698</v>
      </c>
      <c r="AA556" s="1693"/>
      <c r="AB556" s="1693"/>
      <c r="AC556" s="1693"/>
      <c r="AD556" s="1693"/>
      <c r="AE556" s="1674">
        <v>1</v>
      </c>
      <c r="AF556" s="1675"/>
      <c r="AG556" s="1675"/>
      <c r="AH556" s="1676"/>
      <c r="AI556" s="1677">
        <f>+W556*AM556</f>
        <v>867000</v>
      </c>
      <c r="AJ556" s="1678"/>
      <c r="AK556" s="1678"/>
      <c r="AL556" s="1679"/>
      <c r="AM556" s="1667">
        <v>14450000</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580</v>
      </c>
      <c r="C557" s="1680" t="s">
        <v>2696</v>
      </c>
      <c r="D557" s="1680"/>
      <c r="E557" s="1680"/>
      <c r="F557" s="1680"/>
      <c r="G557" s="1680"/>
      <c r="H557" s="1680"/>
      <c r="I557" s="1680"/>
      <c r="J557" s="1680"/>
      <c r="K557" s="1680"/>
      <c r="L557" s="1680"/>
      <c r="M557" s="1692" t="s">
        <v>2113</v>
      </c>
      <c r="N557" s="1692"/>
      <c r="O557" s="1692"/>
      <c r="P557" s="1692"/>
      <c r="Q557" s="1451">
        <v>24</v>
      </c>
      <c r="R557" s="1452"/>
      <c r="S557" s="1453"/>
      <c r="T557" s="1451"/>
      <c r="U557" s="1452"/>
      <c r="V557" s="1453"/>
      <c r="W557" s="1454">
        <v>7.8E-2</v>
      </c>
      <c r="X557" s="1455"/>
      <c r="Y557" s="1456"/>
      <c r="Z557" s="1693" t="s">
        <v>2698</v>
      </c>
      <c r="AA557" s="1693"/>
      <c r="AB557" s="1693"/>
      <c r="AC557" s="1693"/>
      <c r="AD557" s="1693"/>
      <c r="AE557" s="1674">
        <v>1</v>
      </c>
      <c r="AF557" s="1675"/>
      <c r="AG557" s="1675"/>
      <c r="AH557" s="1676"/>
      <c r="AI557" s="1677">
        <f>+W557*AM557</f>
        <v>1072500</v>
      </c>
      <c r="AJ557" s="1678"/>
      <c r="AK557" s="1678"/>
      <c r="AL557" s="1679"/>
      <c r="AM557" s="1667">
        <v>13750000</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762</v>
      </c>
      <c r="C558" s="1680" t="s">
        <v>2662</v>
      </c>
      <c r="D558" s="1680"/>
      <c r="E558" s="1680"/>
      <c r="F558" s="1680"/>
      <c r="G558" s="1680"/>
      <c r="H558" s="1680"/>
      <c r="I558" s="1680"/>
      <c r="J558" s="1680"/>
      <c r="K558" s="1680"/>
      <c r="L558" s="1680"/>
      <c r="M558" s="1692" t="s">
        <v>2109</v>
      </c>
      <c r="N558" s="1692"/>
      <c r="O558" s="1692"/>
      <c r="P558" s="1692"/>
      <c r="Q558" s="1451"/>
      <c r="R558" s="1452"/>
      <c r="S558" s="1453"/>
      <c r="T558" s="1451"/>
      <c r="U558" s="1452"/>
      <c r="V558" s="1453"/>
      <c r="W558" s="1454"/>
      <c r="X558" s="1455"/>
      <c r="Y558" s="1456"/>
      <c r="Z558" s="1693" t="s">
        <v>590</v>
      </c>
      <c r="AA558" s="1693"/>
      <c r="AB558" s="1693"/>
      <c r="AC558" s="1693"/>
      <c r="AD558" s="1693"/>
      <c r="AE558" s="1674"/>
      <c r="AF558" s="1675"/>
      <c r="AG558" s="1675"/>
      <c r="AH558" s="1676"/>
      <c r="AI558" s="1677"/>
      <c r="AJ558" s="1678"/>
      <c r="AK558" s="1678"/>
      <c r="AL558" s="1679"/>
      <c r="AM558" s="1667">
        <v>10341408</v>
      </c>
      <c r="AN558" s="1668"/>
      <c r="AO558" s="1668"/>
      <c r="AP558" s="1668"/>
      <c r="AQ558" s="1668"/>
      <c r="AR558" s="1668"/>
      <c r="AS558" s="1669"/>
      <c r="AT558" s="1148" t="str">
        <f t="shared" ref="AT558:AT565" si="1">IF(AND(NOT(C557=""),C558="",NOT(C559="")),"!","")</f>
        <v/>
      </c>
      <c r="AU558" s="1147"/>
      <c r="BB558" s="3"/>
      <c r="BC558" s="3"/>
      <c r="BD558" s="3"/>
      <c r="BE558" s="3"/>
      <c r="BF558" s="3"/>
      <c r="BG558" s="3"/>
      <c r="BH558" s="3" t="s">
        <v>762</v>
      </c>
      <c r="BI558" s="3" t="str">
        <f>N665</f>
        <v>No</v>
      </c>
    </row>
    <row r="559" spans="1:61" ht="12.95" customHeight="1">
      <c r="B559" s="52" t="s">
        <v>583</v>
      </c>
      <c r="C559" s="1680" t="s">
        <v>2697</v>
      </c>
      <c r="D559" s="1680"/>
      <c r="E559" s="1680"/>
      <c r="F559" s="1680"/>
      <c r="G559" s="1680"/>
      <c r="H559" s="1680"/>
      <c r="I559" s="1680"/>
      <c r="J559" s="1680"/>
      <c r="K559" s="1680"/>
      <c r="L559" s="1680"/>
      <c r="M559" s="1692" t="s">
        <v>2110</v>
      </c>
      <c r="N559" s="1692"/>
      <c r="O559" s="1692"/>
      <c r="P559" s="1692"/>
      <c r="Q559" s="1451"/>
      <c r="R559" s="1452"/>
      <c r="S559" s="1453"/>
      <c r="T559" s="1451"/>
      <c r="U559" s="1452"/>
      <c r="V559" s="1453"/>
      <c r="W559" s="1454"/>
      <c r="X559" s="1455"/>
      <c r="Y559" s="1456"/>
      <c r="Z559" s="1693" t="s">
        <v>1183</v>
      </c>
      <c r="AA559" s="1693"/>
      <c r="AB559" s="1693"/>
      <c r="AC559" s="1693"/>
      <c r="AD559" s="1693"/>
      <c r="AE559" s="1674"/>
      <c r="AF559" s="1675"/>
      <c r="AG559" s="1675"/>
      <c r="AH559" s="1676"/>
      <c r="AI559" s="1677"/>
      <c r="AJ559" s="1678"/>
      <c r="AK559" s="1678"/>
      <c r="AL559" s="1679"/>
      <c r="AM559" s="1667">
        <v>6643210</v>
      </c>
      <c r="AN559" s="1668"/>
      <c r="AO559" s="1668"/>
      <c r="AP559" s="1668"/>
      <c r="AQ559" s="1668"/>
      <c r="AR559" s="1668"/>
      <c r="AS559" s="1669"/>
      <c r="AT559" s="1148" t="str">
        <f t="shared" si="1"/>
        <v/>
      </c>
      <c r="AU559" s="1147"/>
      <c r="BB559" s="3"/>
      <c r="BC559" s="3"/>
      <c r="BD559" s="3"/>
      <c r="BE559" s="3"/>
      <c r="BF559" s="3"/>
      <c r="BG559" s="3"/>
      <c r="BH559" s="3" t="s">
        <v>583</v>
      </c>
      <c r="BI559" s="3" t="str">
        <f>AG665</f>
        <v>No</v>
      </c>
    </row>
    <row r="560" spans="1:61" ht="12.95" customHeight="1">
      <c r="B560" s="52" t="s">
        <v>454</v>
      </c>
      <c r="C560" s="1680"/>
      <c r="D560" s="1680"/>
      <c r="E560" s="1680"/>
      <c r="F560" s="1680"/>
      <c r="G560" s="1680"/>
      <c r="H560" s="1680"/>
      <c r="I560" s="1680"/>
      <c r="J560" s="1680"/>
      <c r="K560" s="1680"/>
      <c r="L560" s="1680"/>
      <c r="M560" s="1692" t="s">
        <v>1183</v>
      </c>
      <c r="N560" s="1692"/>
      <c r="O560" s="1692"/>
      <c r="P560" s="1692"/>
      <c r="Q560" s="1451"/>
      <c r="R560" s="1452"/>
      <c r="S560" s="1453"/>
      <c r="T560" s="1451"/>
      <c r="U560" s="1452"/>
      <c r="V560" s="1453"/>
      <c r="W560" s="1454"/>
      <c r="X560" s="1455"/>
      <c r="Y560" s="1456"/>
      <c r="Z560" s="1693" t="s">
        <v>1183</v>
      </c>
      <c r="AA560" s="1693"/>
      <c r="AB560" s="1693"/>
      <c r="AC560" s="1693"/>
      <c r="AD560" s="1693"/>
      <c r="AE560" s="1674"/>
      <c r="AF560" s="1675"/>
      <c r="AG560" s="1675"/>
      <c r="AH560" s="1676"/>
      <c r="AI560" s="1677"/>
      <c r="AJ560" s="1678"/>
      <c r="AK560" s="1678"/>
      <c r="AL560" s="1679"/>
      <c r="AM560" s="1667"/>
      <c r="AN560" s="1668"/>
      <c r="AO560" s="1668"/>
      <c r="AP560" s="1668"/>
      <c r="AQ560" s="1668"/>
      <c r="AR560" s="1668"/>
      <c r="AS560" s="1669"/>
      <c r="AT560" s="1148" t="str">
        <f t="shared" si="1"/>
        <v/>
      </c>
      <c r="AU560" s="1147"/>
      <c r="BB560" s="3"/>
      <c r="BC560" s="3"/>
      <c r="BD560" s="3"/>
      <c r="BE560" s="3"/>
      <c r="BF560" s="3"/>
      <c r="BG560" s="3"/>
      <c r="BH560" s="3"/>
      <c r="BI560" s="3"/>
    </row>
    <row r="561" spans="1:61" ht="12.95" customHeight="1">
      <c r="B561" s="52" t="s">
        <v>455</v>
      </c>
      <c r="C561" s="1680"/>
      <c r="D561" s="1680"/>
      <c r="E561" s="1680"/>
      <c r="F561" s="1680"/>
      <c r="G561" s="1680"/>
      <c r="H561" s="1680"/>
      <c r="I561" s="1680"/>
      <c r="J561" s="1680"/>
      <c r="K561" s="1680"/>
      <c r="L561" s="1680"/>
      <c r="M561" s="1692" t="s">
        <v>1183</v>
      </c>
      <c r="N561" s="1692"/>
      <c r="O561" s="1692"/>
      <c r="P561" s="1692"/>
      <c r="Q561" s="1451"/>
      <c r="R561" s="1452"/>
      <c r="S561" s="1453"/>
      <c r="T561" s="1451"/>
      <c r="U561" s="1452"/>
      <c r="V561" s="1453"/>
      <c r="W561" s="1454"/>
      <c r="X561" s="1455"/>
      <c r="Y561" s="1456"/>
      <c r="Z561" s="1693" t="s">
        <v>1183</v>
      </c>
      <c r="AA561" s="1693"/>
      <c r="AB561" s="1693"/>
      <c r="AC561" s="1693"/>
      <c r="AD561" s="1693"/>
      <c r="AE561" s="1674"/>
      <c r="AF561" s="1675"/>
      <c r="AG561" s="1675"/>
      <c r="AH561" s="1676"/>
      <c r="AI561" s="1677"/>
      <c r="AJ561" s="1678"/>
      <c r="AK561" s="1678"/>
      <c r="AL561" s="1679"/>
      <c r="AM561" s="1667"/>
      <c r="AN561" s="1668"/>
      <c r="AO561" s="1668"/>
      <c r="AP561" s="1668"/>
      <c r="AQ561" s="1668"/>
      <c r="AR561" s="1668"/>
      <c r="AS561" s="1669"/>
      <c r="AT561" s="1148" t="str">
        <f t="shared" si="1"/>
        <v/>
      </c>
      <c r="AU561" s="1147"/>
      <c r="BB561" s="3"/>
      <c r="BC561" s="3"/>
      <c r="BD561" s="3"/>
      <c r="BE561" s="3"/>
      <c r="BF561" s="3"/>
      <c r="BG561" s="3"/>
      <c r="BH561" s="3"/>
      <c r="BI561" s="3"/>
    </row>
    <row r="562" spans="1:61" ht="12.95" customHeight="1">
      <c r="B562" s="52" t="s">
        <v>460</v>
      </c>
      <c r="C562" s="1680"/>
      <c r="D562" s="1680"/>
      <c r="E562" s="1680"/>
      <c r="F562" s="1680"/>
      <c r="G562" s="1680"/>
      <c r="H562" s="1680"/>
      <c r="I562" s="1680"/>
      <c r="J562" s="1680"/>
      <c r="K562" s="1680"/>
      <c r="L562" s="1680"/>
      <c r="M562" s="1692" t="s">
        <v>1183</v>
      </c>
      <c r="N562" s="1692"/>
      <c r="O562" s="1692"/>
      <c r="P562" s="1692"/>
      <c r="Q562" s="1451"/>
      <c r="R562" s="1452"/>
      <c r="S562" s="1453"/>
      <c r="T562" s="1451"/>
      <c r="U562" s="1452"/>
      <c r="V562" s="1453"/>
      <c r="W562" s="1454"/>
      <c r="X562" s="1455"/>
      <c r="Y562" s="1456"/>
      <c r="Z562" s="1693" t="s">
        <v>1183</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48" t="str">
        <f t="shared" si="1"/>
        <v/>
      </c>
      <c r="AU562" s="1147"/>
      <c r="BB562" s="3"/>
      <c r="BC562" s="3"/>
      <c r="BD562" s="3"/>
      <c r="BE562" s="3"/>
      <c r="BF562" s="3"/>
      <c r="BG562" s="3"/>
      <c r="BH562" s="3"/>
      <c r="BI562" s="3"/>
    </row>
    <row r="563" spans="1:61" ht="12.95" customHeight="1">
      <c r="B563" s="52" t="s">
        <v>645</v>
      </c>
      <c r="C563" s="1680"/>
      <c r="D563" s="1680"/>
      <c r="E563" s="1680"/>
      <c r="F563" s="1680"/>
      <c r="G563" s="1680"/>
      <c r="H563" s="1680"/>
      <c r="I563" s="1680"/>
      <c r="J563" s="1680"/>
      <c r="K563" s="1680"/>
      <c r="L563" s="1680"/>
      <c r="M563" s="1692" t="s">
        <v>1183</v>
      </c>
      <c r="N563" s="1692"/>
      <c r="O563" s="1692"/>
      <c r="P563" s="1692"/>
      <c r="Q563" s="1451"/>
      <c r="R563" s="1452"/>
      <c r="S563" s="1453"/>
      <c r="T563" s="1451"/>
      <c r="U563" s="1452"/>
      <c r="V563" s="1453"/>
      <c r="W563" s="1454"/>
      <c r="X563" s="1455"/>
      <c r="Y563" s="1456"/>
      <c r="Z563" s="1693" t="s">
        <v>1183</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48" t="str">
        <f t="shared" si="1"/>
        <v/>
      </c>
      <c r="BB563" s="3"/>
      <c r="BC563" s="3"/>
      <c r="BD563" s="3"/>
      <c r="BE563" s="3"/>
      <c r="BF563" s="3"/>
      <c r="BG563" s="3"/>
      <c r="BH563" s="3"/>
      <c r="BI563" s="3"/>
    </row>
    <row r="564" spans="1:61" ht="12.95" customHeight="1">
      <c r="B564" s="52" t="s">
        <v>362</v>
      </c>
      <c r="C564" s="1680"/>
      <c r="D564" s="1680"/>
      <c r="E564" s="1680"/>
      <c r="F564" s="1680"/>
      <c r="G564" s="1680"/>
      <c r="H564" s="1680"/>
      <c r="I564" s="1680"/>
      <c r="J564" s="1680"/>
      <c r="K564" s="1680"/>
      <c r="L564" s="1680"/>
      <c r="M564" s="1692" t="s">
        <v>1183</v>
      </c>
      <c r="N564" s="1692"/>
      <c r="O564" s="1692"/>
      <c r="P564" s="1692"/>
      <c r="Q564" s="1451"/>
      <c r="R564" s="1452"/>
      <c r="S564" s="1453"/>
      <c r="T564" s="1451"/>
      <c r="U564" s="1452"/>
      <c r="V564" s="1453"/>
      <c r="W564" s="1454"/>
      <c r="X564" s="1455"/>
      <c r="Y564" s="1456"/>
      <c r="Z564" s="1693" t="s">
        <v>1183</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48" t="str">
        <f t="shared" si="1"/>
        <v/>
      </c>
      <c r="BB564" s="3"/>
      <c r="BC564" s="3"/>
      <c r="BD564" s="3"/>
      <c r="BE564" s="3"/>
      <c r="BF564" s="3"/>
      <c r="BG564" s="3"/>
      <c r="BH564" s="3"/>
      <c r="BI564" s="3"/>
    </row>
    <row r="565" spans="1:61" ht="12.95" customHeight="1">
      <c r="B565" s="52" t="s">
        <v>363</v>
      </c>
      <c r="C565" s="1680"/>
      <c r="D565" s="1680"/>
      <c r="E565" s="1680"/>
      <c r="F565" s="1680"/>
      <c r="G565" s="1680"/>
      <c r="H565" s="1680"/>
      <c r="I565" s="1680"/>
      <c r="J565" s="1680"/>
      <c r="K565" s="1680"/>
      <c r="L565" s="1680"/>
      <c r="M565" s="1692" t="s">
        <v>1183</v>
      </c>
      <c r="N565" s="1692"/>
      <c r="O565" s="1692"/>
      <c r="P565" s="1692"/>
      <c r="Q565" s="1451"/>
      <c r="R565" s="1452"/>
      <c r="S565" s="1453"/>
      <c r="T565" s="1451"/>
      <c r="U565" s="1452"/>
      <c r="V565" s="1453"/>
      <c r="W565" s="1454"/>
      <c r="X565" s="1455"/>
      <c r="Y565" s="1456"/>
      <c r="Z565" s="1693" t="s">
        <v>1183</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48" t="str">
        <f t="shared" si="1"/>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66914618</v>
      </c>
      <c r="AN566" s="1615"/>
      <c r="AO566" s="1615"/>
      <c r="AP566" s="1615"/>
      <c r="AQ566" s="1615"/>
      <c r="AR566" s="1615"/>
      <c r="AS566" s="1616"/>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358" t="str">
        <f>C554</f>
        <v>Berkadia - MTEB</v>
      </c>
      <c r="H568" s="1358"/>
      <c r="I568" s="1358"/>
      <c r="J568" s="1358"/>
      <c r="K568" s="1358"/>
      <c r="L568" s="1358"/>
      <c r="M568" s="1358"/>
      <c r="N568" s="1358"/>
      <c r="O568" s="1358"/>
      <c r="P568" s="1358"/>
      <c r="Q568" s="1358"/>
      <c r="R568" s="1358"/>
      <c r="S568" s="8"/>
      <c r="T568" s="55" t="s">
        <v>113</v>
      </c>
      <c r="U568" t="s">
        <v>462</v>
      </c>
      <c r="Z568" s="1358" t="str">
        <f>C555</f>
        <v>Berkadia - Tax-exempt</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2699</v>
      </c>
      <c r="H569" s="1371"/>
      <c r="I569" s="1371"/>
      <c r="J569" s="1371"/>
      <c r="K569" s="1371"/>
      <c r="L569" s="1371"/>
      <c r="M569" s="1371"/>
      <c r="N569" s="1371"/>
      <c r="O569" s="1371"/>
      <c r="P569" s="1371"/>
      <c r="Q569" s="1371"/>
      <c r="R569" s="1371"/>
      <c r="S569" s="8"/>
      <c r="T569" s="22"/>
      <c r="U569" t="s">
        <v>85</v>
      </c>
      <c r="Z569" s="1371" t="s">
        <v>2699</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579</v>
      </c>
      <c r="G570" s="1371" t="s">
        <v>493</v>
      </c>
      <c r="H570" s="1371"/>
      <c r="I570" s="1371"/>
      <c r="J570" s="1371"/>
      <c r="K570" s="1371"/>
      <c r="L570" s="1371"/>
      <c r="M570" s="1371"/>
      <c r="N570" s="1371"/>
      <c r="O570" s="1371"/>
      <c r="P570" s="1371"/>
      <c r="Q570" s="1371"/>
      <c r="R570" s="1371"/>
      <c r="T570" s="22"/>
      <c r="U570" t="s">
        <v>579</v>
      </c>
      <c r="Z570" s="1348" t="s">
        <v>493</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2700</v>
      </c>
      <c r="H571" s="1371"/>
      <c r="I571" s="1371"/>
      <c r="J571" s="1371"/>
      <c r="K571" s="1371"/>
      <c r="L571" s="1371"/>
      <c r="M571" s="1371"/>
      <c r="N571" s="1371"/>
      <c r="O571" s="1371"/>
      <c r="P571" s="1371"/>
      <c r="Q571" s="1371"/>
      <c r="R571" s="1371"/>
      <c r="S571" s="8"/>
      <c r="T571" s="22"/>
      <c r="U571" t="s">
        <v>17</v>
      </c>
      <c r="Z571" s="1348" t="s">
        <v>2700</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2701</v>
      </c>
      <c r="H572" s="1346"/>
      <c r="I572" s="1346"/>
      <c r="J572" s="1346"/>
      <c r="K572" s="1346"/>
      <c r="L572" s="1346"/>
      <c r="O572" s="33" t="s">
        <v>206</v>
      </c>
      <c r="P572" s="1436"/>
      <c r="Q572" s="1436"/>
      <c r="R572" s="1436"/>
      <c r="S572" s="10"/>
      <c r="T572" s="22"/>
      <c r="U572" t="s">
        <v>316</v>
      </c>
      <c r="Z572" s="1346" t="s">
        <v>2701</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tr">
        <f>+M554</f>
        <v>Loan, Tax-Exempt</v>
      </c>
      <c r="I573" s="1371"/>
      <c r="J573" s="1371"/>
      <c r="K573" s="1371"/>
      <c r="L573" s="1371"/>
      <c r="M573" s="1371"/>
      <c r="N573" s="1371"/>
      <c r="O573" s="1371"/>
      <c r="P573" s="1371"/>
      <c r="Q573" s="1371"/>
      <c r="R573" s="1371"/>
      <c r="S573" s="8"/>
      <c r="T573" s="22"/>
      <c r="U573" t="s">
        <v>18</v>
      </c>
      <c r="AA573" s="1371" t="str">
        <f>+M555</f>
        <v>Loan, Tax-Exempt, Recycled</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1184</v>
      </c>
      <c r="H574" s="8"/>
      <c r="I574" s="8"/>
      <c r="J574" s="8"/>
      <c r="K574" s="8"/>
      <c r="L574" s="8"/>
      <c r="M574" s="1696"/>
      <c r="N574" s="1696"/>
      <c r="O574" s="1696"/>
      <c r="P574" s="1696"/>
      <c r="Q574" s="1696"/>
      <c r="R574" s="1696"/>
      <c r="S574" s="8"/>
      <c r="T574" s="22"/>
      <c r="U574" s="320" t="s">
        <v>1184</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2" t="s">
        <v>544</v>
      </c>
      <c r="O575" s="1332"/>
      <c r="T575" s="22"/>
      <c r="U575" t="s">
        <v>20</v>
      </c>
      <c r="AG575" s="1332" t="s">
        <v>544</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358" t="str">
        <f>C556</f>
        <v>Berkadia - Taxable</v>
      </c>
      <c r="H577" s="1358"/>
      <c r="I577" s="1358"/>
      <c r="J577" s="1358"/>
      <c r="K577" s="1358"/>
      <c r="L577" s="1358"/>
      <c r="M577" s="1358"/>
      <c r="N577" s="1358"/>
      <c r="O577" s="1358"/>
      <c r="P577" s="1358"/>
      <c r="Q577" s="1358"/>
      <c r="R577" s="1358"/>
      <c r="T577" s="55" t="s">
        <v>580</v>
      </c>
      <c r="U577" t="s">
        <v>462</v>
      </c>
      <c r="Z577" s="1358" t="str">
        <f>C557</f>
        <v>Berkadia - Taxable</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2699</v>
      </c>
      <c r="H578" s="1371"/>
      <c r="I578" s="1371"/>
      <c r="J578" s="1371"/>
      <c r="K578" s="1371"/>
      <c r="L578" s="1371"/>
      <c r="M578" s="1371"/>
      <c r="N578" s="1371"/>
      <c r="O578" s="1371"/>
      <c r="P578" s="1371"/>
      <c r="Q578" s="1371"/>
      <c r="R578" s="1371"/>
      <c r="T578" s="22"/>
      <c r="U578" t="s">
        <v>85</v>
      </c>
      <c r="Z578" s="1371" t="s">
        <v>2699</v>
      </c>
      <c r="AA578" s="1371"/>
      <c r="AB578" s="1371"/>
      <c r="AC578" s="1371"/>
      <c r="AD578" s="1371"/>
      <c r="AE578" s="1371"/>
      <c r="AF578" s="1371"/>
      <c r="AG578" s="1371"/>
      <c r="AH578" s="1371"/>
      <c r="AI578" s="1371"/>
      <c r="AJ578" s="1371"/>
      <c r="AK578" s="1371"/>
      <c r="BB578" s="3"/>
      <c r="BC578" s="3"/>
    </row>
    <row r="579" spans="1:55" ht="12.95" customHeight="1">
      <c r="A579" s="22"/>
      <c r="B579" t="s">
        <v>579</v>
      </c>
      <c r="G579" s="1348" t="s">
        <v>493</v>
      </c>
      <c r="H579" s="1348"/>
      <c r="I579" s="1348"/>
      <c r="J579" s="1348"/>
      <c r="K579" s="1348"/>
      <c r="L579" s="1348"/>
      <c r="M579" s="1348"/>
      <c r="N579" s="1348"/>
      <c r="O579" s="1348"/>
      <c r="P579" s="1348"/>
      <c r="Q579" s="1348"/>
      <c r="R579" s="1348"/>
      <c r="T579" s="22"/>
      <c r="U579" t="s">
        <v>579</v>
      </c>
      <c r="Z579" s="1348" t="s">
        <v>493</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2700</v>
      </c>
      <c r="H580" s="1348"/>
      <c r="I580" s="1348"/>
      <c r="J580" s="1348"/>
      <c r="K580" s="1348"/>
      <c r="L580" s="1348"/>
      <c r="M580" s="1348"/>
      <c r="N580" s="1348"/>
      <c r="O580" s="1348"/>
      <c r="P580" s="1348"/>
      <c r="Q580" s="1348"/>
      <c r="R580" s="1348"/>
      <c r="T580" s="22"/>
      <c r="U580" t="s">
        <v>17</v>
      </c>
      <c r="Z580" s="1348" t="s">
        <v>2700</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2701</v>
      </c>
      <c r="H581" s="1346"/>
      <c r="I581" s="1346"/>
      <c r="J581" s="1346"/>
      <c r="K581" s="1346"/>
      <c r="L581" s="1346"/>
      <c r="O581" s="33" t="s">
        <v>206</v>
      </c>
      <c r="P581" s="1436"/>
      <c r="Q581" s="1436"/>
      <c r="R581" s="1436"/>
      <c r="T581" s="22"/>
      <c r="U581" t="s">
        <v>316</v>
      </c>
      <c r="Z581" s="1346" t="s">
        <v>2701</v>
      </c>
      <c r="AA581" s="1346"/>
      <c r="AB581" s="1346"/>
      <c r="AC581" s="1346"/>
      <c r="AD581" s="1346"/>
      <c r="AE581" s="1346"/>
      <c r="AH581" s="33" t="s">
        <v>206</v>
      </c>
      <c r="AI581" s="1436"/>
      <c r="AJ581" s="1436"/>
      <c r="AK581" s="1436"/>
      <c r="BB581" s="3"/>
      <c r="BC581" s="3"/>
    </row>
    <row r="582" spans="1:55" ht="12.95" customHeight="1">
      <c r="A582" s="22"/>
      <c r="B582" t="s">
        <v>18</v>
      </c>
      <c r="H582" s="1371" t="str">
        <f>+M556</f>
        <v>Loan, Taxable</v>
      </c>
      <c r="I582" s="1371"/>
      <c r="J582" s="1371"/>
      <c r="K582" s="1371"/>
      <c r="L582" s="1371"/>
      <c r="M582" s="1371"/>
      <c r="N582" s="1371"/>
      <c r="O582" s="1371"/>
      <c r="P582" s="1371"/>
      <c r="Q582" s="1371"/>
      <c r="R582" s="1371"/>
      <c r="T582" s="22"/>
      <c r="U582" t="s">
        <v>18</v>
      </c>
      <c r="AA582" s="1371" t="str">
        <f>+M557</f>
        <v>Loan, Equity Bridge</v>
      </c>
      <c r="AB582" s="1371"/>
      <c r="AC582" s="1371"/>
      <c r="AD582" s="1371"/>
      <c r="AE582" s="1371"/>
      <c r="AF582" s="1371"/>
      <c r="AG582" s="1371"/>
      <c r="AH582" s="1371"/>
      <c r="AI582" s="1371"/>
      <c r="AJ582" s="1371"/>
      <c r="AK582" s="1371"/>
      <c r="BB582" s="3"/>
      <c r="BC582" s="3"/>
    </row>
    <row r="583" spans="1:55" ht="12.95" customHeight="1">
      <c r="A583" s="22"/>
      <c r="B583" t="s">
        <v>20</v>
      </c>
      <c r="N583" s="1332" t="s">
        <v>544</v>
      </c>
      <c r="O583" s="1332"/>
      <c r="T583" s="22"/>
      <c r="U583" t="s">
        <v>20</v>
      </c>
      <c r="AG583" s="1332" t="s">
        <v>544</v>
      </c>
      <c r="AH583" s="1332"/>
      <c r="BB583" s="3"/>
      <c r="BC583" s="3"/>
    </row>
    <row r="584" spans="1:55" ht="12.95" customHeight="1">
      <c r="A584" s="22"/>
      <c r="T584" s="22"/>
      <c r="BB584" s="3"/>
      <c r="BC584" s="3"/>
    </row>
    <row r="585" spans="1:55" ht="12.95" customHeight="1">
      <c r="A585" s="55" t="s">
        <v>762</v>
      </c>
      <c r="B585" t="s">
        <v>462</v>
      </c>
      <c r="G585" s="1358" t="str">
        <f>C558</f>
        <v>Candeur Group</v>
      </c>
      <c r="H585" s="1358"/>
      <c r="I585" s="1358"/>
      <c r="J585" s="1358"/>
      <c r="K585" s="1358"/>
      <c r="L585" s="1358"/>
      <c r="M585" s="1358"/>
      <c r="N585" s="1358"/>
      <c r="O585" s="1358"/>
      <c r="P585" s="1358"/>
      <c r="Q585" s="1358"/>
      <c r="R585" s="1358"/>
      <c r="T585" s="55" t="s">
        <v>583</v>
      </c>
      <c r="U585" t="s">
        <v>462</v>
      </c>
      <c r="Z585" s="1358" t="str">
        <f>C559</f>
        <v>Green Manor Fund, LLC</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2702</v>
      </c>
      <c r="H586" s="1371"/>
      <c r="I586" s="1371"/>
      <c r="J586" s="1371"/>
      <c r="K586" s="1371"/>
      <c r="L586" s="1371"/>
      <c r="M586" s="1371"/>
      <c r="N586" s="1371"/>
      <c r="O586" s="1371"/>
      <c r="P586" s="1371"/>
      <c r="Q586" s="1371"/>
      <c r="R586" s="1371"/>
      <c r="T586" s="22"/>
      <c r="U586" t="s">
        <v>85</v>
      </c>
      <c r="Z586" s="1371" t="s">
        <v>2703</v>
      </c>
      <c r="AA586" s="1371"/>
      <c r="AB586" s="1371"/>
      <c r="AC586" s="1371"/>
      <c r="AD586" s="1371"/>
      <c r="AE586" s="1371"/>
      <c r="AF586" s="1371"/>
      <c r="AG586" s="1371"/>
      <c r="AH586" s="1371"/>
      <c r="AI586" s="1371"/>
      <c r="AJ586" s="1371"/>
      <c r="AK586" s="1371"/>
      <c r="BB586" s="3"/>
      <c r="BC586" s="3"/>
    </row>
    <row r="587" spans="1:55" ht="12.95" customHeight="1">
      <c r="A587" s="22"/>
      <c r="B587" t="s">
        <v>579</v>
      </c>
      <c r="G587" s="1371" t="s">
        <v>729</v>
      </c>
      <c r="H587" s="1371"/>
      <c r="I587" s="1371"/>
      <c r="J587" s="1371"/>
      <c r="K587" s="1371"/>
      <c r="L587" s="1371"/>
      <c r="M587" s="1371"/>
      <c r="N587" s="1371"/>
      <c r="O587" s="1371"/>
      <c r="P587" s="1371"/>
      <c r="Q587" s="1371"/>
      <c r="R587" s="1371"/>
      <c r="T587" s="22"/>
      <c r="U587" t="s">
        <v>579</v>
      </c>
      <c r="Z587" s="1348" t="s">
        <v>728</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2665</v>
      </c>
      <c r="H588" s="1371"/>
      <c r="I588" s="1371"/>
      <c r="J588" s="1371"/>
      <c r="K588" s="1371"/>
      <c r="L588" s="1371"/>
      <c r="M588" s="1371"/>
      <c r="N588" s="1371"/>
      <c r="O588" s="1371"/>
      <c r="P588" s="1371"/>
      <c r="Q588" s="1371"/>
      <c r="R588" s="1371"/>
      <c r="T588" s="22"/>
      <c r="U588" t="s">
        <v>17</v>
      </c>
      <c r="Z588" s="1348" t="s">
        <v>2614</v>
      </c>
      <c r="AA588" s="1348"/>
      <c r="AB588" s="1348"/>
      <c r="AC588" s="1348"/>
      <c r="AD588" s="1348"/>
      <c r="AE588" s="1348"/>
      <c r="AF588" s="1348"/>
      <c r="AG588" s="1348"/>
      <c r="AH588" s="1348"/>
      <c r="AI588" s="1348"/>
      <c r="AJ588" s="1348"/>
      <c r="AK588" s="1348"/>
    </row>
    <row r="589" spans="1:55" ht="12.95" customHeight="1">
      <c r="A589" s="22"/>
      <c r="B589" t="s">
        <v>316</v>
      </c>
      <c r="G589" s="1694" t="s">
        <v>2704</v>
      </c>
      <c r="H589" s="1346"/>
      <c r="I589" s="1346"/>
      <c r="J589" s="1346"/>
      <c r="K589" s="1346"/>
      <c r="L589" s="1346"/>
      <c r="O589" s="33" t="s">
        <v>206</v>
      </c>
      <c r="P589" s="1436"/>
      <c r="Q589" s="1436"/>
      <c r="R589" s="1436"/>
      <c r="T589" s="22"/>
      <c r="U589" t="s">
        <v>316</v>
      </c>
      <c r="Z589" s="1694" t="s">
        <v>2622</v>
      </c>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t="str">
        <f>+M558</f>
        <v>Equity, LIHTC Investor</v>
      </c>
      <c r="I590" s="1371"/>
      <c r="J590" s="1371"/>
      <c r="K590" s="1371"/>
      <c r="L590" s="1371"/>
      <c r="M590" s="1371"/>
      <c r="N590" s="1371"/>
      <c r="O590" s="1371"/>
      <c r="P590" s="1371"/>
      <c r="Q590" s="1371"/>
      <c r="R590" s="1371"/>
      <c r="T590" s="22"/>
      <c r="U590" t="s">
        <v>18</v>
      </c>
      <c r="AA590" s="1371" t="str">
        <f>+M559</f>
        <v>Equity, Other Investor</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544</v>
      </c>
      <c r="O591" s="1332"/>
      <c r="T591" s="22"/>
      <c r="U591" t="s">
        <v>20</v>
      </c>
      <c r="AG591" s="1332" t="s">
        <v>544</v>
      </c>
      <c r="AH591" s="1332"/>
      <c r="AZ591" s="3"/>
      <c r="BA591" s="3"/>
      <c r="BB591" s="3"/>
      <c r="BC591" s="3"/>
    </row>
    <row r="592" spans="1:55" ht="12.95" customHeight="1">
      <c r="A592" s="22"/>
      <c r="T592" s="22"/>
      <c r="AZ592" s="3"/>
      <c r="BA592" s="3"/>
      <c r="BB592" s="3"/>
      <c r="BC592" s="3"/>
    </row>
    <row r="593" spans="1:55" ht="12.95" customHeight="1">
      <c r="A593" s="55" t="s">
        <v>454</v>
      </c>
      <c r="B593" t="s">
        <v>462</v>
      </c>
      <c r="G593" s="1358">
        <f>C560</f>
        <v>0</v>
      </c>
      <c r="H593" s="1358"/>
      <c r="I593" s="1358"/>
      <c r="J593" s="1358"/>
      <c r="K593" s="1358"/>
      <c r="L593" s="1358"/>
      <c r="M593" s="1358"/>
      <c r="N593" s="1358"/>
      <c r="O593" s="1358"/>
      <c r="P593" s="1358"/>
      <c r="Q593" s="1358"/>
      <c r="R593" s="1358"/>
      <c r="T593" s="55" t="s">
        <v>455</v>
      </c>
      <c r="U593" t="s">
        <v>462</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371"/>
      <c r="H595" s="1371"/>
      <c r="I595" s="1371"/>
      <c r="J595" s="1371"/>
      <c r="K595" s="1371"/>
      <c r="L595" s="1371"/>
      <c r="M595" s="1371"/>
      <c r="N595" s="1371"/>
      <c r="O595" s="1371"/>
      <c r="P595" s="1371"/>
      <c r="Q595" s="1371"/>
      <c r="R595" s="1371"/>
      <c r="S595"/>
      <c r="T595" s="22"/>
      <c r="U595" t="s">
        <v>579</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c r="H597" s="1346"/>
      <c r="I597" s="1346"/>
      <c r="J597" s="1346"/>
      <c r="K597" s="1346"/>
      <c r="L597" s="1346"/>
      <c r="M597"/>
      <c r="N597"/>
      <c r="O597" s="33" t="s">
        <v>206</v>
      </c>
      <c r="P597" s="1436"/>
      <c r="Q597" s="1436"/>
      <c r="R597" s="1436"/>
      <c r="S597"/>
      <c r="T597" s="22"/>
      <c r="U597" t="s">
        <v>316</v>
      </c>
      <c r="V597"/>
      <c r="W597"/>
      <c r="X597"/>
      <c r="Y597"/>
      <c r="Z597" s="1346"/>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668</v>
      </c>
      <c r="O599" s="1332"/>
      <c r="T599" s="22"/>
      <c r="U599" t="s">
        <v>20</v>
      </c>
      <c r="AG599" s="1332" t="s">
        <v>668</v>
      </c>
      <c r="AH599" s="1332"/>
      <c r="BB599" s="3"/>
      <c r="BC599" s="3"/>
    </row>
    <row r="600" spans="1:55" ht="12.95" customHeight="1">
      <c r="A600" s="22"/>
      <c r="T600" s="22"/>
      <c r="BB600" s="3"/>
      <c r="BC600" s="3"/>
    </row>
    <row r="601" spans="1:55" ht="12.95" customHeight="1">
      <c r="A601" s="55" t="s">
        <v>460</v>
      </c>
      <c r="B601" t="s">
        <v>462</v>
      </c>
      <c r="G601" s="1358">
        <f>C562</f>
        <v>0</v>
      </c>
      <c r="H601" s="1358"/>
      <c r="I601" s="1358"/>
      <c r="J601" s="1358"/>
      <c r="K601" s="1358"/>
      <c r="L601" s="1358"/>
      <c r="M601" s="1358"/>
      <c r="N601" s="1358"/>
      <c r="O601" s="1358"/>
      <c r="P601" s="1358"/>
      <c r="Q601" s="1358"/>
      <c r="R601" s="1358"/>
      <c r="T601" s="55" t="s">
        <v>645</v>
      </c>
      <c r="U601" t="s">
        <v>462</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579</v>
      </c>
      <c r="G603" s="1371"/>
      <c r="H603" s="1371"/>
      <c r="I603" s="1371"/>
      <c r="J603" s="1371"/>
      <c r="K603" s="1371"/>
      <c r="L603" s="1371"/>
      <c r="M603" s="1371"/>
      <c r="N603" s="1371"/>
      <c r="O603" s="1371"/>
      <c r="P603" s="1371"/>
      <c r="Q603" s="1371"/>
      <c r="R603" s="1371"/>
      <c r="T603" s="22"/>
      <c r="U603" t="s">
        <v>579</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668</v>
      </c>
      <c r="O607" s="1332"/>
      <c r="P607"/>
      <c r="Q607"/>
      <c r="R607"/>
      <c r="S607"/>
      <c r="T607" s="22"/>
      <c r="U607" t="s">
        <v>20</v>
      </c>
      <c r="V607"/>
      <c r="W607"/>
      <c r="X607"/>
      <c r="Y607"/>
      <c r="Z607"/>
      <c r="AA607"/>
      <c r="AB607"/>
      <c r="AC607"/>
      <c r="AD607"/>
      <c r="AE607"/>
      <c r="AF607"/>
      <c r="AG607" s="1332" t="s">
        <v>668</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462</v>
      </c>
      <c r="G609" s="1358">
        <f>C564</f>
        <v>0</v>
      </c>
      <c r="H609" s="1358"/>
      <c r="I609" s="1358"/>
      <c r="J609" s="1358"/>
      <c r="K609" s="1358"/>
      <c r="L609" s="1358"/>
      <c r="M609" s="1358"/>
      <c r="N609" s="1358"/>
      <c r="O609" s="1358"/>
      <c r="P609" s="1358"/>
      <c r="Q609" s="1358"/>
      <c r="R609" s="1358"/>
      <c r="T609" s="55" t="s">
        <v>363</v>
      </c>
      <c r="U609" t="s">
        <v>462</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579</v>
      </c>
      <c r="G611" s="1371"/>
      <c r="H611" s="1371"/>
      <c r="I611" s="1371"/>
      <c r="J611" s="1371"/>
      <c r="K611" s="1371"/>
      <c r="L611" s="1371"/>
      <c r="M611" s="1371"/>
      <c r="N611" s="1371"/>
      <c r="O611" s="1371"/>
      <c r="P611" s="1371"/>
      <c r="Q611" s="1371"/>
      <c r="R611" s="1371"/>
      <c r="U611" t="s">
        <v>579</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668</v>
      </c>
      <c r="O615" s="1332"/>
      <c r="U615" t="s">
        <v>20</v>
      </c>
      <c r="AG615" s="1332" t="s">
        <v>668</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543</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700" t="s">
        <v>2101</v>
      </c>
      <c r="C624" s="1700"/>
      <c r="D624" s="1700"/>
      <c r="E624" s="1700"/>
      <c r="F624" s="1700"/>
      <c r="G624" s="1700"/>
      <c r="H624" s="1700"/>
      <c r="I624" s="1700"/>
      <c r="J624" s="1700"/>
      <c r="K624" s="1700"/>
      <c r="L624" s="1700"/>
      <c r="M624" s="1441" t="s">
        <v>2102</v>
      </c>
      <c r="N624" s="1441"/>
      <c r="O624" s="1441"/>
      <c r="P624" s="1441"/>
      <c r="Q624" s="1441" t="s">
        <v>1851</v>
      </c>
      <c r="R624" s="1441"/>
      <c r="S624" s="1441"/>
      <c r="T624" s="1441" t="s">
        <v>1849</v>
      </c>
      <c r="U624" s="1441"/>
      <c r="V624" s="1441"/>
      <c r="W624" s="1701" t="s">
        <v>452</v>
      </c>
      <c r="X624" s="1701"/>
      <c r="Y624" s="1701"/>
      <c r="Z624" s="1430" t="s">
        <v>2131</v>
      </c>
      <c r="AA624" s="1430"/>
      <c r="AB624" s="1431"/>
      <c r="AC624" s="1681" t="s">
        <v>1675</v>
      </c>
      <c r="AD624" s="1682"/>
      <c r="AE624" s="1683"/>
      <c r="AF624" s="1671" t="s">
        <v>1929</v>
      </c>
      <c r="AG624" s="1430"/>
      <c r="AH624" s="1430"/>
      <c r="AI624" s="1430"/>
      <c r="AJ624" s="1431"/>
      <c r="AK624" s="1733" t="s">
        <v>1930</v>
      </c>
      <c r="AL624" s="1734"/>
      <c r="AM624" s="1734"/>
      <c r="AN624" s="1735"/>
      <c r="AO624" s="1441" t="s">
        <v>453</v>
      </c>
      <c r="AP624" s="1441"/>
      <c r="AQ624" s="1441"/>
      <c r="AR624" s="1441"/>
      <c r="AS624" s="1441"/>
      <c r="AU624" s="3"/>
      <c r="AZ624" s="3"/>
      <c r="BA624" s="3"/>
      <c r="BB624" s="3"/>
      <c r="BC624" s="3"/>
    </row>
    <row r="625" spans="2:157" ht="12.95"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4"/>
      <c r="AD625" s="1685"/>
      <c r="AE625" s="1686"/>
      <c r="AF625" s="1672"/>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7"/>
      <c r="AD626" s="1688"/>
      <c r="AE626" s="1689"/>
      <c r="AF626" s="1673"/>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5" customHeight="1">
      <c r="B627" s="51" t="s">
        <v>112</v>
      </c>
      <c r="C627" s="1691" t="s">
        <v>2694</v>
      </c>
      <c r="D627" s="1691"/>
      <c r="E627" s="1691"/>
      <c r="F627" s="1691"/>
      <c r="G627" s="1691"/>
      <c r="H627" s="1691"/>
      <c r="I627" s="1691"/>
      <c r="J627" s="1691"/>
      <c r="K627" s="1691"/>
      <c r="L627" s="1691"/>
      <c r="M627" s="1617" t="s">
        <v>2118</v>
      </c>
      <c r="N627" s="1617"/>
      <c r="O627" s="1617"/>
      <c r="P627" s="1617"/>
      <c r="Q627" s="1425">
        <v>180</v>
      </c>
      <c r="R627" s="1425"/>
      <c r="S627" s="1426"/>
      <c r="T627" s="1424">
        <v>480</v>
      </c>
      <c r="U627" s="1425"/>
      <c r="V627" s="1426"/>
      <c r="W627" s="1437">
        <v>5.5E-2</v>
      </c>
      <c r="X627" s="1438"/>
      <c r="Y627" s="1439"/>
      <c r="Z627" s="1477" t="s">
        <v>2130</v>
      </c>
      <c r="AA627" s="1478"/>
      <c r="AB627" s="1479"/>
      <c r="AC627" s="1445">
        <v>1</v>
      </c>
      <c r="AD627" s="1446"/>
      <c r="AE627" s="1447">
        <v>1</v>
      </c>
      <c r="AF627" s="1474">
        <f>PMT(W627,T627/12,-AO627,,0)</f>
        <v>1011459.1727431535</v>
      </c>
      <c r="AG627" s="1475"/>
      <c r="AH627" s="1475"/>
      <c r="AI627" s="1475"/>
      <c r="AJ627" s="1476"/>
      <c r="AK627" s="1427"/>
      <c r="AL627" s="1428"/>
      <c r="AM627" s="1428">
        <v>39000000</v>
      </c>
      <c r="AN627" s="1429"/>
      <c r="AO627" s="1480">
        <v>16230000</v>
      </c>
      <c r="AP627" s="1480"/>
      <c r="AQ627" s="1480"/>
      <c r="AR627" s="1480"/>
      <c r="AS627" s="1480"/>
      <c r="AT627" s="3"/>
      <c r="AU627" s="3"/>
      <c r="AZ627" s="3"/>
      <c r="BA627" s="3"/>
      <c r="BB627" s="3"/>
      <c r="BC627" s="3"/>
      <c r="BD627" s="3"/>
    </row>
    <row r="628" spans="2:157" ht="12.95" customHeight="1">
      <c r="B628" s="52" t="s">
        <v>113</v>
      </c>
      <c r="C628" s="1691" t="s">
        <v>2720</v>
      </c>
      <c r="D628" s="1691"/>
      <c r="E628" s="1691"/>
      <c r="F628" s="1691"/>
      <c r="G628" s="1691"/>
      <c r="H628" s="1691"/>
      <c r="I628" s="1691"/>
      <c r="J628" s="1691"/>
      <c r="K628" s="1691"/>
      <c r="L628" s="1691"/>
      <c r="M628" s="1617" t="s">
        <v>2119</v>
      </c>
      <c r="N628" s="1617"/>
      <c r="O628" s="1617"/>
      <c r="P628" s="1617"/>
      <c r="Q628" s="1424">
        <v>180</v>
      </c>
      <c r="R628" s="1425"/>
      <c r="S628" s="1426"/>
      <c r="T628" s="1424">
        <v>480</v>
      </c>
      <c r="U628" s="1425"/>
      <c r="V628" s="1426"/>
      <c r="W628" s="1437">
        <v>5.5E-2</v>
      </c>
      <c r="X628" s="1438"/>
      <c r="Y628" s="1439"/>
      <c r="Z628" s="1477" t="s">
        <v>2130</v>
      </c>
      <c r="AA628" s="1478"/>
      <c r="AB628" s="1479"/>
      <c r="AC628" s="1445">
        <v>1</v>
      </c>
      <c r="AD628" s="1446"/>
      <c r="AE628" s="1447"/>
      <c r="AF628" s="1474">
        <f>PMT(W628,T628/12,-AO628,,0)</f>
        <v>342761.88848350861</v>
      </c>
      <c r="AG628" s="1475"/>
      <c r="AH628" s="1475"/>
      <c r="AI628" s="1475"/>
      <c r="AJ628" s="1476"/>
      <c r="AK628" s="1427"/>
      <c r="AL628" s="1428"/>
      <c r="AM628" s="1428"/>
      <c r="AN628" s="1429"/>
      <c r="AO628" s="1465">
        <v>5500000</v>
      </c>
      <c r="AP628" s="1466"/>
      <c r="AQ628" s="1466"/>
      <c r="AR628" s="1466"/>
      <c r="AS628" s="1467"/>
      <c r="AT628" s="1148" t="str">
        <f>IF(AND(NOT(C627=""),C628="",NOT(C629="")),"!","")</f>
        <v/>
      </c>
      <c r="AU628" s="3"/>
      <c r="AZ628" s="3"/>
      <c r="BA628" s="3"/>
      <c r="BB628" s="3"/>
      <c r="BC628" s="3"/>
      <c r="BD628" s="3"/>
    </row>
    <row r="629" spans="2:157" ht="12.95" customHeight="1">
      <c r="B629" s="52" t="s">
        <v>119</v>
      </c>
      <c r="C629" s="1691" t="s">
        <v>2721</v>
      </c>
      <c r="D629" s="1691"/>
      <c r="E629" s="1691"/>
      <c r="F629" s="1691"/>
      <c r="G629" s="1691"/>
      <c r="H629" s="1691"/>
      <c r="I629" s="1691"/>
      <c r="J629" s="1691"/>
      <c r="K629" s="1691"/>
      <c r="L629" s="1691"/>
      <c r="M629" s="1617" t="s">
        <v>2117</v>
      </c>
      <c r="N629" s="1617"/>
      <c r="O629" s="1617"/>
      <c r="P629" s="1617"/>
      <c r="Q629" s="1424">
        <v>180</v>
      </c>
      <c r="R629" s="1425"/>
      <c r="S629" s="1426"/>
      <c r="T629" s="1424">
        <v>480</v>
      </c>
      <c r="U629" s="1425"/>
      <c r="V629" s="1426"/>
      <c r="W629" s="1437">
        <v>0.06</v>
      </c>
      <c r="X629" s="1438"/>
      <c r="Y629" s="1439"/>
      <c r="Z629" s="1477" t="s">
        <v>2130</v>
      </c>
      <c r="AA629" s="1478"/>
      <c r="AB629" s="1479"/>
      <c r="AC629" s="1445">
        <v>1</v>
      </c>
      <c r="AD629" s="1446"/>
      <c r="AE629" s="1447"/>
      <c r="AF629" s="1474">
        <f>PMT(W629,T629/12,-AO629,,0)</f>
        <v>960369.19405376108</v>
      </c>
      <c r="AG629" s="1475"/>
      <c r="AH629" s="1475"/>
      <c r="AI629" s="1475"/>
      <c r="AJ629" s="1476"/>
      <c r="AK629" s="1427"/>
      <c r="AL629" s="1428"/>
      <c r="AM629" s="1428"/>
      <c r="AN629" s="1429"/>
      <c r="AO629" s="1465">
        <v>14450000</v>
      </c>
      <c r="AP629" s="1466"/>
      <c r="AQ629" s="1466"/>
      <c r="AR629" s="1466"/>
      <c r="AS629" s="1467"/>
      <c r="AT629" s="1148" t="str">
        <f t="shared" ref="AT629:AT638" si="2">IF(AND(NOT(C628=""),C629="",NOT(C630="")),"!","")</f>
        <v/>
      </c>
      <c r="AU629" s="3"/>
      <c r="AZ629" s="3"/>
      <c r="BA629" s="3"/>
      <c r="BB629" s="3"/>
      <c r="BC629" s="3"/>
      <c r="BD629" s="3"/>
    </row>
    <row r="630" spans="2:157" ht="12.95" customHeight="1">
      <c r="B630" s="52" t="s">
        <v>580</v>
      </c>
      <c r="C630" s="1347" t="s">
        <v>2697</v>
      </c>
      <c r="D630" s="1347"/>
      <c r="E630" s="1347"/>
      <c r="F630" s="1347"/>
      <c r="G630" s="1347"/>
      <c r="H630" s="1347"/>
      <c r="I630" s="1347"/>
      <c r="J630" s="1347"/>
      <c r="K630" s="1347"/>
      <c r="L630" s="1347"/>
      <c r="M630" s="1617" t="s">
        <v>2110</v>
      </c>
      <c r="N630" s="1617"/>
      <c r="O630" s="1617"/>
      <c r="P630" s="1617"/>
      <c r="Q630" s="1424"/>
      <c r="R630" s="1425"/>
      <c r="S630" s="1426"/>
      <c r="T630" s="1424"/>
      <c r="U630" s="1425"/>
      <c r="V630" s="1426"/>
      <c r="W630" s="1437"/>
      <c r="X630" s="1438"/>
      <c r="Y630" s="1439"/>
      <c r="Z630" s="1477" t="s">
        <v>1183</v>
      </c>
      <c r="AA630" s="1478"/>
      <c r="AB630" s="1479"/>
      <c r="AC630" s="1445"/>
      <c r="AD630" s="1446"/>
      <c r="AE630" s="1447"/>
      <c r="AF630" s="1474"/>
      <c r="AG630" s="1475"/>
      <c r="AH630" s="1475"/>
      <c r="AI630" s="1475"/>
      <c r="AJ630" s="1476"/>
      <c r="AK630" s="1427"/>
      <c r="AL630" s="1428"/>
      <c r="AM630" s="1428"/>
      <c r="AN630" s="1429"/>
      <c r="AO630" s="1465">
        <v>6643210</v>
      </c>
      <c r="AP630" s="1466"/>
      <c r="AQ630" s="1466"/>
      <c r="AR630" s="1466"/>
      <c r="AS630" s="1467"/>
      <c r="AT630" s="1148" t="str">
        <f t="shared" si="2"/>
        <v/>
      </c>
      <c r="AU630" s="3"/>
      <c r="AZ630" s="3"/>
      <c r="BA630" s="3"/>
      <c r="BB630" s="3"/>
      <c r="BC630" s="3"/>
      <c r="BD630" s="3"/>
    </row>
    <row r="631" spans="2:157" ht="12.95" customHeight="1">
      <c r="B631" s="52" t="s">
        <v>762</v>
      </c>
      <c r="C631" s="1347"/>
      <c r="D631" s="1347"/>
      <c r="E631" s="1347"/>
      <c r="F631" s="1347"/>
      <c r="G631" s="1347"/>
      <c r="H631" s="1347"/>
      <c r="I631" s="1347"/>
      <c r="J631" s="1347"/>
      <c r="K631" s="1347"/>
      <c r="L631" s="1347"/>
      <c r="M631" s="1617" t="s">
        <v>1183</v>
      </c>
      <c r="N631" s="1617"/>
      <c r="O631" s="1617"/>
      <c r="P631" s="1617"/>
      <c r="Q631" s="1424"/>
      <c r="R631" s="1425"/>
      <c r="S631" s="1426"/>
      <c r="T631" s="1424"/>
      <c r="U631" s="1425"/>
      <c r="V631" s="1426"/>
      <c r="W631" s="1437"/>
      <c r="X631" s="1438"/>
      <c r="Y631" s="1439"/>
      <c r="Z631" s="1477" t="s">
        <v>1183</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2"/>
        <v/>
      </c>
      <c r="AU631" s="3"/>
      <c r="AZ631" s="3"/>
      <c r="BA631" s="3"/>
      <c r="BB631" s="3"/>
      <c r="BC631" s="3"/>
      <c r="BD631" s="3"/>
    </row>
    <row r="632" spans="2:157" ht="12.95" customHeight="1">
      <c r="B632" s="52" t="s">
        <v>583</v>
      </c>
      <c r="C632" s="1347"/>
      <c r="D632" s="1347"/>
      <c r="E632" s="1347"/>
      <c r="F632" s="1347"/>
      <c r="G632" s="1347"/>
      <c r="H632" s="1347"/>
      <c r="I632" s="1347"/>
      <c r="J632" s="1347"/>
      <c r="K632" s="1347"/>
      <c r="L632" s="1347"/>
      <c r="M632" s="1617" t="s">
        <v>1183</v>
      </c>
      <c r="N632" s="1617"/>
      <c r="O632" s="1617"/>
      <c r="P632" s="1617"/>
      <c r="Q632" s="1424"/>
      <c r="R632" s="1425"/>
      <c r="S632" s="1426"/>
      <c r="T632" s="1424"/>
      <c r="U632" s="1425"/>
      <c r="V632" s="1426"/>
      <c r="W632" s="1437"/>
      <c r="X632" s="1438"/>
      <c r="Y632" s="1439"/>
      <c r="Z632" s="1477" t="s">
        <v>1183</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2"/>
        <v/>
      </c>
      <c r="AU632" s="3"/>
      <c r="AZ632" s="3"/>
      <c r="BA632" s="3"/>
      <c r="BB632" s="3"/>
      <c r="BC632" s="3"/>
      <c r="BD632" s="3"/>
    </row>
    <row r="633" spans="2:157" ht="12.95" customHeight="1">
      <c r="B633" s="52" t="s">
        <v>454</v>
      </c>
      <c r="C633" s="1347"/>
      <c r="D633" s="1347"/>
      <c r="E633" s="1347"/>
      <c r="F633" s="1347"/>
      <c r="G633" s="1347"/>
      <c r="H633" s="1347"/>
      <c r="I633" s="1347"/>
      <c r="J633" s="1347"/>
      <c r="K633" s="1347"/>
      <c r="L633" s="1347"/>
      <c r="M633" s="1617" t="s">
        <v>1183</v>
      </c>
      <c r="N633" s="1617"/>
      <c r="O633" s="1617"/>
      <c r="P633" s="1617"/>
      <c r="Q633" s="1424"/>
      <c r="R633" s="1425"/>
      <c r="S633" s="1426"/>
      <c r="T633" s="1424"/>
      <c r="U633" s="1425"/>
      <c r="V633" s="1426"/>
      <c r="W633" s="1437"/>
      <c r="X633" s="1438"/>
      <c r="Y633" s="1439"/>
      <c r="Z633" s="1477" t="s">
        <v>1183</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2"/>
        <v/>
      </c>
      <c r="AU633" s="3"/>
      <c r="AV633" s="3"/>
      <c r="AW633" s="3"/>
      <c r="AX633" s="3"/>
      <c r="AY633" s="3"/>
      <c r="AZ633" s="3"/>
      <c r="BA633" s="3"/>
      <c r="BB633" s="3"/>
      <c r="BC633" s="3"/>
      <c r="BD633" s="3"/>
    </row>
    <row r="634" spans="2:157" ht="12.95" customHeight="1">
      <c r="B634" s="52" t="s">
        <v>455</v>
      </c>
      <c r="C634" s="1347"/>
      <c r="D634" s="1347"/>
      <c r="E634" s="1347"/>
      <c r="F634" s="1347"/>
      <c r="G634" s="1347"/>
      <c r="H634" s="1347"/>
      <c r="I634" s="1347"/>
      <c r="J634" s="1347"/>
      <c r="K634" s="1347"/>
      <c r="L634" s="1347"/>
      <c r="M634" s="1617" t="s">
        <v>1183</v>
      </c>
      <c r="N634" s="1617"/>
      <c r="O634" s="1617"/>
      <c r="P634" s="1617"/>
      <c r="Q634" s="1424"/>
      <c r="R634" s="1425"/>
      <c r="S634" s="1426"/>
      <c r="T634" s="1424"/>
      <c r="U634" s="1425"/>
      <c r="V634" s="1426"/>
      <c r="W634" s="1437"/>
      <c r="X634" s="1438"/>
      <c r="Y634" s="1439"/>
      <c r="Z634" s="1477" t="s">
        <v>1183</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2"/>
        <v/>
      </c>
      <c r="AU634" s="3"/>
      <c r="AV634" s="3"/>
      <c r="AW634" s="3"/>
      <c r="AX634" s="3"/>
      <c r="AY634" s="3"/>
      <c r="AZ634" s="3"/>
      <c r="BA634" s="3" t="s">
        <v>1183</v>
      </c>
      <c r="BB634" s="3"/>
      <c r="BC634" s="3"/>
      <c r="BD634" s="3"/>
    </row>
    <row r="635" spans="2:157" ht="12.95" customHeight="1">
      <c r="B635" s="52" t="s">
        <v>460</v>
      </c>
      <c r="C635" s="1347"/>
      <c r="D635" s="1347"/>
      <c r="E635" s="1347"/>
      <c r="F635" s="1347"/>
      <c r="G635" s="1347"/>
      <c r="H635" s="1347"/>
      <c r="I635" s="1347"/>
      <c r="J635" s="1347"/>
      <c r="K635" s="1347"/>
      <c r="L635" s="1347"/>
      <c r="M635" s="1617" t="s">
        <v>1183</v>
      </c>
      <c r="N635" s="1617"/>
      <c r="O635" s="1617"/>
      <c r="P635" s="1617"/>
      <c r="Q635" s="1424"/>
      <c r="R635" s="1425"/>
      <c r="S635" s="1426"/>
      <c r="T635" s="1424"/>
      <c r="U635" s="1425"/>
      <c r="V635" s="1426"/>
      <c r="W635" s="1437"/>
      <c r="X635" s="1438"/>
      <c r="Y635" s="1439"/>
      <c r="Z635" s="1477" t="s">
        <v>1183</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2"/>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f t="shared" ref="DX635:DX669" si="3">EZ718*(CP718/$CP$753)</f>
        <v>35.98989898989899</v>
      </c>
      <c r="DY635" s="1444"/>
      <c r="DZ635" s="1444"/>
      <c r="EA635" s="1444"/>
      <c r="EB635" s="1444"/>
      <c r="EC635" s="1444" t="e">
        <f t="shared" ref="EC635:EC669" si="4">FE718*(CU718/$CU$753)</f>
        <v>#VALUE!</v>
      </c>
      <c r="ED635" s="1444"/>
      <c r="EE635" s="1444"/>
      <c r="EF635" s="1444"/>
      <c r="EG635" s="1444"/>
      <c r="EH635" s="1444" t="e">
        <f t="shared" ref="EH635:EH669" si="5">FJ718*(CZ718/$CZ$753)</f>
        <v>#VALUE!</v>
      </c>
      <c r="EI635" s="1444"/>
      <c r="EJ635" s="1444"/>
      <c r="EK635" s="1444"/>
      <c r="EL635" s="1444"/>
      <c r="EM635" s="1444" t="e">
        <f t="shared" ref="EM635:EM669" si="6">FO718*(DE718/$DE$753)</f>
        <v>#VALUE!</v>
      </c>
      <c r="EN635" s="1444"/>
      <c r="EO635" s="1444"/>
      <c r="EP635" s="1444"/>
      <c r="EQ635" s="1444"/>
      <c r="ER635" s="1444" t="e">
        <f t="shared" ref="ER635:ER669" si="7">FT718*(DJ718/$DJ$753)</f>
        <v>#VALUE!</v>
      </c>
      <c r="ES635" s="1444"/>
      <c r="ET635" s="1444"/>
      <c r="EU635" s="1444"/>
      <c r="EV635" s="1444"/>
      <c r="EW635" s="1444" t="e">
        <f t="shared" ref="EW635:EW669" si="8">FY718*(DO718/$DO$753)</f>
        <v>#VALUE!</v>
      </c>
      <c r="EX635" s="1444"/>
      <c r="EY635" s="1444"/>
      <c r="EZ635" s="1444"/>
      <c r="FA635" s="1444"/>
    </row>
    <row r="636" spans="2:157" ht="12.95" customHeight="1">
      <c r="B636" s="52" t="s">
        <v>645</v>
      </c>
      <c r="C636" s="1347"/>
      <c r="D636" s="1347"/>
      <c r="E636" s="1347"/>
      <c r="F636" s="1347"/>
      <c r="G636" s="1347"/>
      <c r="H636" s="1347"/>
      <c r="I636" s="1347"/>
      <c r="J636" s="1347"/>
      <c r="K636" s="1347"/>
      <c r="L636" s="1347"/>
      <c r="M636" s="1617" t="s">
        <v>1183</v>
      </c>
      <c r="N636" s="1617"/>
      <c r="O636" s="1617"/>
      <c r="P636" s="1617"/>
      <c r="Q636" s="1424"/>
      <c r="R636" s="1425"/>
      <c r="S636" s="1426"/>
      <c r="T636" s="1424"/>
      <c r="U636" s="1425"/>
      <c r="V636" s="1426"/>
      <c r="W636" s="1437"/>
      <c r="X636" s="1438"/>
      <c r="Y636" s="1439"/>
      <c r="Z636" s="1477" t="s">
        <v>1183</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2"/>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444">
        <f t="shared" si="3"/>
        <v>368.24242424242425</v>
      </c>
      <c r="DY636" s="1444"/>
      <c r="DZ636" s="1444"/>
      <c r="EA636" s="1444"/>
      <c r="EB636" s="1444"/>
      <c r="EC636" s="1444" t="e">
        <f t="shared" si="4"/>
        <v>#VALUE!</v>
      </c>
      <c r="ED636" s="1444"/>
      <c r="EE636" s="1444"/>
      <c r="EF636" s="1444"/>
      <c r="EG636" s="1444"/>
      <c r="EH636" s="1444" t="e">
        <f t="shared" si="5"/>
        <v>#VALUE!</v>
      </c>
      <c r="EI636" s="1444"/>
      <c r="EJ636" s="1444"/>
      <c r="EK636" s="1444"/>
      <c r="EL636" s="1444"/>
      <c r="EM636" s="1444" t="e">
        <f t="shared" si="6"/>
        <v>#VALUE!</v>
      </c>
      <c r="EN636" s="1444"/>
      <c r="EO636" s="1444"/>
      <c r="EP636" s="1444"/>
      <c r="EQ636" s="1444"/>
      <c r="ER636" s="1444" t="e">
        <f t="shared" si="7"/>
        <v>#VALUE!</v>
      </c>
      <c r="ES636" s="1444"/>
      <c r="ET636" s="1444"/>
      <c r="EU636" s="1444"/>
      <c r="EV636" s="1444"/>
      <c r="EW636" s="1444" t="e">
        <f t="shared" si="8"/>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7" t="s">
        <v>1183</v>
      </c>
      <c r="N637" s="1617"/>
      <c r="O637" s="1617"/>
      <c r="P637" s="1617"/>
      <c r="Q637" s="1424"/>
      <c r="R637" s="1425"/>
      <c r="S637" s="1426"/>
      <c r="T637" s="1424"/>
      <c r="U637" s="1425"/>
      <c r="V637" s="1426"/>
      <c r="W637" s="1437"/>
      <c r="X637" s="1438"/>
      <c r="Y637" s="1439"/>
      <c r="Z637" s="1477" t="s">
        <v>1183</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2"/>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4">
        <f t="shared" si="3"/>
        <v>803.53535353535358</v>
      </c>
      <c r="DY637" s="1444"/>
      <c r="DZ637" s="1444"/>
      <c r="EA637" s="1444"/>
      <c r="EB637" s="1444"/>
      <c r="EC637" s="1444" t="e">
        <f t="shared" si="4"/>
        <v>#VALUE!</v>
      </c>
      <c r="ED637" s="1444"/>
      <c r="EE637" s="1444"/>
      <c r="EF637" s="1444"/>
      <c r="EG637" s="1444"/>
      <c r="EH637" s="1444" t="e">
        <f t="shared" si="5"/>
        <v>#VALUE!</v>
      </c>
      <c r="EI637" s="1444"/>
      <c r="EJ637" s="1444"/>
      <c r="EK637" s="1444"/>
      <c r="EL637" s="1444"/>
      <c r="EM637" s="1444" t="e">
        <f t="shared" si="6"/>
        <v>#VALUE!</v>
      </c>
      <c r="EN637" s="1444"/>
      <c r="EO637" s="1444"/>
      <c r="EP637" s="1444"/>
      <c r="EQ637" s="1444"/>
      <c r="ER637" s="1444" t="e">
        <f t="shared" si="7"/>
        <v>#VALUE!</v>
      </c>
      <c r="ES637" s="1444"/>
      <c r="ET637" s="1444"/>
      <c r="EU637" s="1444"/>
      <c r="EV637" s="1444"/>
      <c r="EW637" s="1444" t="e">
        <f t="shared" si="8"/>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7" t="s">
        <v>1183</v>
      </c>
      <c r="N638" s="1617"/>
      <c r="O638" s="1617"/>
      <c r="P638" s="1617"/>
      <c r="Q638" s="1424"/>
      <c r="R638" s="1425"/>
      <c r="S638" s="1426"/>
      <c r="T638" s="1424"/>
      <c r="U638" s="1425"/>
      <c r="V638" s="1426"/>
      <c r="W638" s="1437"/>
      <c r="X638" s="1438"/>
      <c r="Y638" s="1439"/>
      <c r="Z638" s="1477" t="s">
        <v>1183</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3"/>
        <v>#VALUE!</v>
      </c>
      <c r="DY638" s="1444"/>
      <c r="DZ638" s="1444"/>
      <c r="EA638" s="1444"/>
      <c r="EB638" s="1444"/>
      <c r="EC638" s="1444">
        <f t="shared" si="4"/>
        <v>251.25</v>
      </c>
      <c r="ED638" s="1444"/>
      <c r="EE638" s="1444"/>
      <c r="EF638" s="1444"/>
      <c r="EG638" s="1444"/>
      <c r="EH638" s="1444" t="e">
        <f t="shared" si="5"/>
        <v>#VALUE!</v>
      </c>
      <c r="EI638" s="1444"/>
      <c r="EJ638" s="1444"/>
      <c r="EK638" s="1444"/>
      <c r="EL638" s="1444"/>
      <c r="EM638" s="1444" t="e">
        <f t="shared" si="6"/>
        <v>#VALUE!</v>
      </c>
      <c r="EN638" s="1444"/>
      <c r="EO638" s="1444"/>
      <c r="EP638" s="1444"/>
      <c r="EQ638" s="1444"/>
      <c r="ER638" s="1444" t="e">
        <f t="shared" si="7"/>
        <v>#VALUE!</v>
      </c>
      <c r="ES638" s="1444"/>
      <c r="ET638" s="1444"/>
      <c r="EU638" s="1444"/>
      <c r="EV638" s="1444"/>
      <c r="EW638" s="1444" t="e">
        <f t="shared" si="8"/>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42823210</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3"/>
        <v>#VALUE!</v>
      </c>
      <c r="DY639" s="1444"/>
      <c r="DZ639" s="1444"/>
      <c r="EA639" s="1444"/>
      <c r="EB639" s="1444"/>
      <c r="EC639" s="1444">
        <f t="shared" si="4"/>
        <v>116.25</v>
      </c>
      <c r="ED639" s="1444"/>
      <c r="EE639" s="1444"/>
      <c r="EF639" s="1444"/>
      <c r="EG639" s="1444"/>
      <c r="EH639" s="1444" t="e">
        <f t="shared" si="5"/>
        <v>#VALUE!</v>
      </c>
      <c r="EI639" s="1444"/>
      <c r="EJ639" s="1444"/>
      <c r="EK639" s="1444"/>
      <c r="EL639" s="1444"/>
      <c r="EM639" s="1444" t="e">
        <f t="shared" si="6"/>
        <v>#VALUE!</v>
      </c>
      <c r="EN639" s="1444"/>
      <c r="EO639" s="1444"/>
      <c r="EP639" s="1444"/>
      <c r="EQ639" s="1444"/>
      <c r="ER639" s="1444" t="e">
        <f t="shared" si="7"/>
        <v>#VALUE!</v>
      </c>
      <c r="ES639" s="1444"/>
      <c r="ET639" s="1444"/>
      <c r="EU639" s="1444"/>
      <c r="EV639" s="1444"/>
      <c r="EW639" s="1444" t="e">
        <f t="shared" si="8"/>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f>+'[1]Basis &amp; Credits'!AB57</f>
        <v>24091408</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3"/>
        <v>#VALUE!</v>
      </c>
      <c r="DY640" s="1444"/>
      <c r="DZ640" s="1444"/>
      <c r="EA640" s="1444"/>
      <c r="EB640" s="1444"/>
      <c r="EC640" s="1444">
        <f t="shared" si="4"/>
        <v>852</v>
      </c>
      <c r="ED640" s="1444"/>
      <c r="EE640" s="1444"/>
      <c r="EF640" s="1444"/>
      <c r="EG640" s="1444"/>
      <c r="EH640" s="1444" t="e">
        <f t="shared" si="5"/>
        <v>#VALUE!</v>
      </c>
      <c r="EI640" s="1444"/>
      <c r="EJ640" s="1444"/>
      <c r="EK640" s="1444"/>
      <c r="EL640" s="1444"/>
      <c r="EM640" s="1444" t="e">
        <f t="shared" si="6"/>
        <v>#VALUE!</v>
      </c>
      <c r="EN640" s="1444"/>
      <c r="EO640" s="1444"/>
      <c r="EP640" s="1444"/>
      <c r="EQ640" s="1444"/>
      <c r="ER640" s="1444" t="e">
        <f t="shared" si="7"/>
        <v>#VALUE!</v>
      </c>
      <c r="ES640" s="1444"/>
      <c r="ET640" s="1444"/>
      <c r="EU640" s="1444"/>
      <c r="EV640" s="1444"/>
      <c r="EW640" s="1444" t="e">
        <f t="shared" si="8"/>
        <v>#VALUE!</v>
      </c>
      <c r="EX640" s="1444"/>
      <c r="EY640" s="1444"/>
      <c r="EZ640" s="1444"/>
      <c r="FA640" s="1444"/>
    </row>
    <row r="641" spans="1:157" ht="12.95" customHeight="1">
      <c r="B641" s="1481" t="s">
        <v>268</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66914618</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3"/>
        <v>#VALUE!</v>
      </c>
      <c r="DY641" s="1444"/>
      <c r="DZ641" s="1444"/>
      <c r="EA641" s="1444"/>
      <c r="EB641" s="1444"/>
      <c r="EC641" s="1444" t="e">
        <f t="shared" si="4"/>
        <v>#VALUE!</v>
      </c>
      <c r="ED641" s="1444"/>
      <c r="EE641" s="1444"/>
      <c r="EF641" s="1444"/>
      <c r="EG641" s="1444"/>
      <c r="EH641" s="1444" t="e">
        <f t="shared" si="5"/>
        <v>#VALUE!</v>
      </c>
      <c r="EI641" s="1444"/>
      <c r="EJ641" s="1444"/>
      <c r="EK641" s="1444"/>
      <c r="EL641" s="1444"/>
      <c r="EM641" s="1444" t="e">
        <f t="shared" si="6"/>
        <v>#VALUE!</v>
      </c>
      <c r="EN641" s="1444"/>
      <c r="EO641" s="1444"/>
      <c r="EP641" s="1444"/>
      <c r="EQ641" s="1444"/>
      <c r="ER641" s="1444" t="e">
        <f t="shared" si="7"/>
        <v>#VALUE!</v>
      </c>
      <c r="ES641" s="1444"/>
      <c r="ET641" s="1444"/>
      <c r="EU641" s="1444"/>
      <c r="EV641" s="1444"/>
      <c r="EW641" s="1444" t="e">
        <f t="shared" si="8"/>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3"/>
        <v>#VALUE!</v>
      </c>
      <c r="DY642" s="1444"/>
      <c r="DZ642" s="1444"/>
      <c r="EA642" s="1444"/>
      <c r="EB642" s="1444"/>
      <c r="EC642" s="1444" t="e">
        <f t="shared" si="4"/>
        <v>#VALUE!</v>
      </c>
      <c r="ED642" s="1444"/>
      <c r="EE642" s="1444"/>
      <c r="EF642" s="1444"/>
      <c r="EG642" s="1444"/>
      <c r="EH642" s="1444" t="e">
        <f t="shared" si="5"/>
        <v>#VALUE!</v>
      </c>
      <c r="EI642" s="1444"/>
      <c r="EJ642" s="1444"/>
      <c r="EK642" s="1444"/>
      <c r="EL642" s="1444"/>
      <c r="EM642" s="1444" t="e">
        <f t="shared" si="6"/>
        <v>#VALUE!</v>
      </c>
      <c r="EN642" s="1444"/>
      <c r="EO642" s="1444"/>
      <c r="EP642" s="1444"/>
      <c r="EQ642" s="1444"/>
      <c r="ER642" s="1444" t="e">
        <f t="shared" si="7"/>
        <v>#VALUE!</v>
      </c>
      <c r="ES642" s="1444"/>
      <c r="ET642" s="1444"/>
      <c r="EU642" s="1444"/>
      <c r="EV642" s="1444"/>
      <c r="EW642" s="1444" t="e">
        <f t="shared" si="8"/>
        <v>#VALUE!</v>
      </c>
      <c r="EX642" s="1444"/>
      <c r="EY642" s="1444"/>
      <c r="EZ642" s="1444"/>
      <c r="FA642" s="1444"/>
    </row>
    <row r="643" spans="1:157" ht="12.95" customHeight="1">
      <c r="A643" s="55" t="s">
        <v>112</v>
      </c>
      <c r="B643" t="s">
        <v>462</v>
      </c>
      <c r="G643" s="1358" t="str">
        <f>C627</f>
        <v>Berkadia - MTEB</v>
      </c>
      <c r="H643" s="1358"/>
      <c r="I643" s="1358"/>
      <c r="J643" s="1358"/>
      <c r="K643" s="1358"/>
      <c r="L643" s="1358"/>
      <c r="M643" s="1358"/>
      <c r="N643" s="1358"/>
      <c r="O643" s="1358"/>
      <c r="P643" s="1358"/>
      <c r="Q643" s="1358"/>
      <c r="R643" s="1358"/>
      <c r="S643" s="8"/>
      <c r="T643" s="55" t="s">
        <v>113</v>
      </c>
      <c r="U643" t="s">
        <v>462</v>
      </c>
      <c r="Z643" s="1358" t="str">
        <f>C628</f>
        <v>Berkadia - Tax-Exempt</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3"/>
        <v>#VALUE!</v>
      </c>
      <c r="DY643" s="1444"/>
      <c r="DZ643" s="1444"/>
      <c r="EA643" s="1444"/>
      <c r="EB643" s="1444"/>
      <c r="EC643" s="1444" t="e">
        <f t="shared" si="4"/>
        <v>#VALUE!</v>
      </c>
      <c r="ED643" s="1444"/>
      <c r="EE643" s="1444"/>
      <c r="EF643" s="1444"/>
      <c r="EG643" s="1444"/>
      <c r="EH643" s="1444" t="e">
        <f t="shared" si="5"/>
        <v>#VALUE!</v>
      </c>
      <c r="EI643" s="1444"/>
      <c r="EJ643" s="1444"/>
      <c r="EK643" s="1444"/>
      <c r="EL643" s="1444"/>
      <c r="EM643" s="1444" t="e">
        <f t="shared" si="6"/>
        <v>#VALUE!</v>
      </c>
      <c r="EN643" s="1444"/>
      <c r="EO643" s="1444"/>
      <c r="EP643" s="1444"/>
      <c r="EQ643" s="1444"/>
      <c r="ER643" s="1444" t="e">
        <f t="shared" si="7"/>
        <v>#VALUE!</v>
      </c>
      <c r="ES643" s="1444"/>
      <c r="ET643" s="1444"/>
      <c r="EU643" s="1444"/>
      <c r="EV643" s="1444"/>
      <c r="EW643" s="1444" t="e">
        <f t="shared" si="8"/>
        <v>#VALUE!</v>
      </c>
      <c r="EX643" s="1444"/>
      <c r="EY643" s="1444"/>
      <c r="EZ643" s="1444"/>
      <c r="FA643" s="1444"/>
    </row>
    <row r="644" spans="1:157" ht="12.95" customHeight="1">
      <c r="A644" s="22"/>
      <c r="B644" t="s">
        <v>85</v>
      </c>
      <c r="G644" s="1371" t="s">
        <v>2699</v>
      </c>
      <c r="H644" s="1371"/>
      <c r="I644" s="1371"/>
      <c r="J644" s="1371"/>
      <c r="K644" s="1371"/>
      <c r="L644" s="1371"/>
      <c r="M644" s="1371"/>
      <c r="N644" s="1371"/>
      <c r="O644" s="1371"/>
      <c r="P644" s="1371"/>
      <c r="Q644" s="1371"/>
      <c r="R644" s="1371"/>
      <c r="S644" s="8"/>
      <c r="T644" s="22"/>
      <c r="U644" t="s">
        <v>85</v>
      </c>
      <c r="Z644" s="1371" t="s">
        <v>2699</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3"/>
        <v>#VALUE!</v>
      </c>
      <c r="DY644" s="1444"/>
      <c r="DZ644" s="1444"/>
      <c r="EA644" s="1444"/>
      <c r="EB644" s="1444"/>
      <c r="EC644" s="1444" t="e">
        <f t="shared" si="4"/>
        <v>#VALUE!</v>
      </c>
      <c r="ED644" s="1444"/>
      <c r="EE644" s="1444"/>
      <c r="EF644" s="1444"/>
      <c r="EG644" s="1444"/>
      <c r="EH644" s="1444" t="e">
        <f t="shared" si="5"/>
        <v>#VALUE!</v>
      </c>
      <c r="EI644" s="1444"/>
      <c r="EJ644" s="1444"/>
      <c r="EK644" s="1444"/>
      <c r="EL644" s="1444"/>
      <c r="EM644" s="1444" t="e">
        <f t="shared" si="6"/>
        <v>#VALUE!</v>
      </c>
      <c r="EN644" s="1444"/>
      <c r="EO644" s="1444"/>
      <c r="EP644" s="1444"/>
      <c r="EQ644" s="1444"/>
      <c r="ER644" s="1444" t="e">
        <f t="shared" si="7"/>
        <v>#VALUE!</v>
      </c>
      <c r="ES644" s="1444"/>
      <c r="ET644" s="1444"/>
      <c r="EU644" s="1444"/>
      <c r="EV644" s="1444"/>
      <c r="EW644" s="1444" t="e">
        <f t="shared" si="8"/>
        <v>#VALUE!</v>
      </c>
      <c r="EX644" s="1444"/>
      <c r="EY644" s="1444"/>
      <c r="EZ644" s="1444"/>
      <c r="FA644" s="1444"/>
    </row>
    <row r="645" spans="1:157" ht="12.95" customHeight="1">
      <c r="A645" s="22"/>
      <c r="B645" t="s">
        <v>579</v>
      </c>
      <c r="G645" s="1371" t="s">
        <v>493</v>
      </c>
      <c r="H645" s="1371"/>
      <c r="I645" s="1371"/>
      <c r="J645" s="1371"/>
      <c r="K645" s="1371"/>
      <c r="L645" s="1371"/>
      <c r="M645" s="1371"/>
      <c r="N645" s="1371"/>
      <c r="O645" s="1371"/>
      <c r="P645" s="1371"/>
      <c r="Q645" s="1371"/>
      <c r="R645" s="1371"/>
      <c r="T645" s="22"/>
      <c r="U645" t="s">
        <v>579</v>
      </c>
      <c r="Z645" s="1348" t="s">
        <v>493</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3"/>
        <v>#VALUE!</v>
      </c>
      <c r="DY645" s="1444"/>
      <c r="DZ645" s="1444"/>
      <c r="EA645" s="1444"/>
      <c r="EB645" s="1444"/>
      <c r="EC645" s="1444" t="e">
        <f t="shared" si="4"/>
        <v>#VALUE!</v>
      </c>
      <c r="ED645" s="1444"/>
      <c r="EE645" s="1444"/>
      <c r="EF645" s="1444"/>
      <c r="EG645" s="1444"/>
      <c r="EH645" s="1444" t="e">
        <f t="shared" si="5"/>
        <v>#VALUE!</v>
      </c>
      <c r="EI645" s="1444"/>
      <c r="EJ645" s="1444"/>
      <c r="EK645" s="1444"/>
      <c r="EL645" s="1444"/>
      <c r="EM645" s="1444" t="e">
        <f t="shared" si="6"/>
        <v>#VALUE!</v>
      </c>
      <c r="EN645" s="1444"/>
      <c r="EO645" s="1444"/>
      <c r="EP645" s="1444"/>
      <c r="EQ645" s="1444"/>
      <c r="ER645" s="1444" t="e">
        <f t="shared" si="7"/>
        <v>#VALUE!</v>
      </c>
      <c r="ES645" s="1444"/>
      <c r="ET645" s="1444"/>
      <c r="EU645" s="1444"/>
      <c r="EV645" s="1444"/>
      <c r="EW645" s="1444" t="e">
        <f t="shared" si="8"/>
        <v>#VALUE!</v>
      </c>
      <c r="EX645" s="1444"/>
      <c r="EY645" s="1444"/>
      <c r="EZ645" s="1444"/>
      <c r="FA645" s="1444"/>
    </row>
    <row r="646" spans="1:157" ht="12.95" customHeight="1">
      <c r="A646" s="22"/>
      <c r="B646" t="s">
        <v>17</v>
      </c>
      <c r="G646" s="1371" t="s">
        <v>2700</v>
      </c>
      <c r="H646" s="1371"/>
      <c r="I646" s="1371"/>
      <c r="J646" s="1371"/>
      <c r="K646" s="1371"/>
      <c r="L646" s="1371"/>
      <c r="M646" s="1371"/>
      <c r="N646" s="1371"/>
      <c r="O646" s="1371"/>
      <c r="P646" s="1371"/>
      <c r="Q646" s="1371"/>
      <c r="R646" s="1371"/>
      <c r="S646" s="8"/>
      <c r="T646" s="22"/>
      <c r="U646" t="s">
        <v>17</v>
      </c>
      <c r="Z646" s="1348" t="s">
        <v>2700</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3"/>
        <v>#VALUE!</v>
      </c>
      <c r="DY646" s="1444"/>
      <c r="DZ646" s="1444"/>
      <c r="EA646" s="1444"/>
      <c r="EB646" s="1444"/>
      <c r="EC646" s="1444" t="e">
        <f t="shared" si="4"/>
        <v>#VALUE!</v>
      </c>
      <c r="ED646" s="1444"/>
      <c r="EE646" s="1444"/>
      <c r="EF646" s="1444"/>
      <c r="EG646" s="1444"/>
      <c r="EH646" s="1444" t="e">
        <f t="shared" si="5"/>
        <v>#VALUE!</v>
      </c>
      <c r="EI646" s="1444"/>
      <c r="EJ646" s="1444"/>
      <c r="EK646" s="1444"/>
      <c r="EL646" s="1444"/>
      <c r="EM646" s="1444" t="e">
        <f t="shared" si="6"/>
        <v>#VALUE!</v>
      </c>
      <c r="EN646" s="1444"/>
      <c r="EO646" s="1444"/>
      <c r="EP646" s="1444"/>
      <c r="EQ646" s="1444"/>
      <c r="ER646" s="1444" t="e">
        <f t="shared" si="7"/>
        <v>#VALUE!</v>
      </c>
      <c r="ES646" s="1444"/>
      <c r="ET646" s="1444"/>
      <c r="EU646" s="1444"/>
      <c r="EV646" s="1444"/>
      <c r="EW646" s="1444" t="e">
        <f t="shared" si="8"/>
        <v>#VALUE!</v>
      </c>
      <c r="EX646" s="1444"/>
      <c r="EY646" s="1444"/>
      <c r="EZ646" s="1444"/>
      <c r="FA646" s="1444"/>
    </row>
    <row r="647" spans="1:157" ht="12.95" customHeight="1">
      <c r="A647" s="22"/>
      <c r="B647" t="s">
        <v>316</v>
      </c>
      <c r="G647" s="1346" t="str">
        <f>+$G$572</f>
        <v>310-209-3244</v>
      </c>
      <c r="H647" s="1346"/>
      <c r="I647" s="1346"/>
      <c r="J647" s="1346"/>
      <c r="K647" s="1346"/>
      <c r="L647" s="1346"/>
      <c r="O647" s="33" t="s">
        <v>206</v>
      </c>
      <c r="P647" s="1436"/>
      <c r="Q647" s="1436"/>
      <c r="R647" s="1436"/>
      <c r="S647" s="10"/>
      <c r="T647" s="22"/>
      <c r="U647" t="s">
        <v>316</v>
      </c>
      <c r="Z647" s="1346" t="str">
        <f>+$G$572</f>
        <v>310-209-3244</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3"/>
        <v>#VALUE!</v>
      </c>
      <c r="DY647" s="1444"/>
      <c r="DZ647" s="1444"/>
      <c r="EA647" s="1444"/>
      <c r="EB647" s="1444"/>
      <c r="EC647" s="1444" t="e">
        <f t="shared" si="4"/>
        <v>#VALUE!</v>
      </c>
      <c r="ED647" s="1444"/>
      <c r="EE647" s="1444"/>
      <c r="EF647" s="1444"/>
      <c r="EG647" s="1444"/>
      <c r="EH647" s="1444" t="e">
        <f t="shared" si="5"/>
        <v>#VALUE!</v>
      </c>
      <c r="EI647" s="1444"/>
      <c r="EJ647" s="1444"/>
      <c r="EK647" s="1444"/>
      <c r="EL647" s="1444"/>
      <c r="EM647" s="1444" t="e">
        <f t="shared" si="6"/>
        <v>#VALUE!</v>
      </c>
      <c r="EN647" s="1444"/>
      <c r="EO647" s="1444"/>
      <c r="EP647" s="1444"/>
      <c r="EQ647" s="1444"/>
      <c r="ER647" s="1444" t="e">
        <f t="shared" si="7"/>
        <v>#VALUE!</v>
      </c>
      <c r="ES647" s="1444"/>
      <c r="ET647" s="1444"/>
      <c r="EU647" s="1444"/>
      <c r="EV647" s="1444"/>
      <c r="EW647" s="1444" t="e">
        <f t="shared" si="8"/>
        <v>#VALUE!</v>
      </c>
      <c r="EX647" s="1444"/>
      <c r="EY647" s="1444"/>
      <c r="EZ647" s="1444"/>
      <c r="FA647" s="1444"/>
    </row>
    <row r="648" spans="1:157" ht="12.95" customHeight="1">
      <c r="A648" s="22"/>
      <c r="B648" t="s">
        <v>18</v>
      </c>
      <c r="H648" s="1371" t="str">
        <f>+M627</f>
        <v>Loan, Tax-Exempt</v>
      </c>
      <c r="I648" s="1371"/>
      <c r="J648" s="1371"/>
      <c r="K648" s="1371"/>
      <c r="L648" s="1371"/>
      <c r="M648" s="1371"/>
      <c r="N648" s="1371"/>
      <c r="O648" s="1371"/>
      <c r="P648" s="1371"/>
      <c r="Q648" s="1371"/>
      <c r="R648" s="1371"/>
      <c r="S648" s="8"/>
      <c r="T648" s="22"/>
      <c r="U648" t="s">
        <v>18</v>
      </c>
      <c r="AA648" s="1371" t="str">
        <f>+M628</f>
        <v>Loan, Tax-Exempt, Recycled</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3"/>
        <v>#VALUE!</v>
      </c>
      <c r="DY648" s="1444"/>
      <c r="DZ648" s="1444"/>
      <c r="EA648" s="1444"/>
      <c r="EB648" s="1444"/>
      <c r="EC648" s="1444" t="e">
        <f t="shared" si="4"/>
        <v>#VALUE!</v>
      </c>
      <c r="ED648" s="1444"/>
      <c r="EE648" s="1444"/>
      <c r="EF648" s="1444"/>
      <c r="EG648" s="1444"/>
      <c r="EH648" s="1444" t="e">
        <f t="shared" si="5"/>
        <v>#VALUE!</v>
      </c>
      <c r="EI648" s="1444"/>
      <c r="EJ648" s="1444"/>
      <c r="EK648" s="1444"/>
      <c r="EL648" s="1444"/>
      <c r="EM648" s="1444" t="e">
        <f t="shared" si="6"/>
        <v>#VALUE!</v>
      </c>
      <c r="EN648" s="1444"/>
      <c r="EO648" s="1444"/>
      <c r="EP648" s="1444"/>
      <c r="EQ648" s="1444"/>
      <c r="ER648" s="1444" t="e">
        <f t="shared" si="7"/>
        <v>#VALUE!</v>
      </c>
      <c r="ES648" s="1444"/>
      <c r="ET648" s="1444"/>
      <c r="EU648" s="1444"/>
      <c r="EV648" s="1444"/>
      <c r="EW648" s="1444" t="e">
        <f t="shared" si="8"/>
        <v>#VALUE!</v>
      </c>
      <c r="EX648" s="1444"/>
      <c r="EY648" s="1444"/>
      <c r="EZ648" s="1444"/>
      <c r="FA648" s="1444"/>
    </row>
    <row r="649" spans="1:157" ht="12.95" customHeight="1">
      <c r="A649" s="22"/>
      <c r="B649" t="s">
        <v>20</v>
      </c>
      <c r="N649" s="1332" t="s">
        <v>544</v>
      </c>
      <c r="O649" s="1332"/>
      <c r="T649" s="22"/>
      <c r="U649" t="s">
        <v>20</v>
      </c>
      <c r="AG649" s="1332" t="s">
        <v>544</v>
      </c>
      <c r="AH649" s="1332"/>
      <c r="AZ649" s="34"/>
      <c r="BA649" s="34"/>
      <c r="BB649" s="34"/>
      <c r="BC649" s="34"/>
      <c r="BD649" s="34"/>
      <c r="BE649" s="34"/>
      <c r="BF649" s="34"/>
      <c r="BG649" s="34"/>
      <c r="BH649" s="34"/>
      <c r="BI649" s="34"/>
      <c r="BJ649" s="34"/>
      <c r="BK649" s="34"/>
      <c r="BL649" s="34"/>
      <c r="BM649" s="34"/>
      <c r="DX649" s="1444" t="e">
        <f t="shared" si="3"/>
        <v>#VALUE!</v>
      </c>
      <c r="DY649" s="1444"/>
      <c r="DZ649" s="1444"/>
      <c r="EA649" s="1444"/>
      <c r="EB649" s="1444"/>
      <c r="EC649" s="1444" t="e">
        <f t="shared" si="4"/>
        <v>#VALUE!</v>
      </c>
      <c r="ED649" s="1444"/>
      <c r="EE649" s="1444"/>
      <c r="EF649" s="1444"/>
      <c r="EG649" s="1444"/>
      <c r="EH649" s="1444" t="e">
        <f t="shared" si="5"/>
        <v>#VALUE!</v>
      </c>
      <c r="EI649" s="1444"/>
      <c r="EJ649" s="1444"/>
      <c r="EK649" s="1444"/>
      <c r="EL649" s="1444"/>
      <c r="EM649" s="1444" t="e">
        <f t="shared" si="6"/>
        <v>#VALUE!</v>
      </c>
      <c r="EN649" s="1444"/>
      <c r="EO649" s="1444"/>
      <c r="EP649" s="1444"/>
      <c r="EQ649" s="1444"/>
      <c r="ER649" s="1444" t="e">
        <f t="shared" si="7"/>
        <v>#VALUE!</v>
      </c>
      <c r="ES649" s="1444"/>
      <c r="ET649" s="1444"/>
      <c r="EU649" s="1444"/>
      <c r="EV649" s="1444"/>
      <c r="EW649" s="1444" t="e">
        <f t="shared" si="8"/>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3"/>
        <v>#VALUE!</v>
      </c>
      <c r="DY650" s="1444"/>
      <c r="DZ650" s="1444"/>
      <c r="EA650" s="1444"/>
      <c r="EB650" s="1444"/>
      <c r="EC650" s="1444" t="e">
        <f t="shared" si="4"/>
        <v>#VALUE!</v>
      </c>
      <c r="ED650" s="1444"/>
      <c r="EE650" s="1444"/>
      <c r="EF650" s="1444"/>
      <c r="EG650" s="1444"/>
      <c r="EH650" s="1444" t="e">
        <f t="shared" si="5"/>
        <v>#VALUE!</v>
      </c>
      <c r="EI650" s="1444"/>
      <c r="EJ650" s="1444"/>
      <c r="EK650" s="1444"/>
      <c r="EL650" s="1444"/>
      <c r="EM650" s="1444" t="e">
        <f t="shared" si="6"/>
        <v>#VALUE!</v>
      </c>
      <c r="EN650" s="1444"/>
      <c r="EO650" s="1444"/>
      <c r="EP650" s="1444"/>
      <c r="EQ650" s="1444"/>
      <c r="ER650" s="1444" t="e">
        <f t="shared" si="7"/>
        <v>#VALUE!</v>
      </c>
      <c r="ES650" s="1444"/>
      <c r="ET650" s="1444"/>
      <c r="EU650" s="1444"/>
      <c r="EV650" s="1444"/>
      <c r="EW650" s="1444" t="e">
        <f t="shared" si="8"/>
        <v>#VALUE!</v>
      </c>
      <c r="EX650" s="1444"/>
      <c r="EY650" s="1444"/>
      <c r="EZ650" s="1444"/>
      <c r="FA650" s="1444"/>
    </row>
    <row r="651" spans="1:157" ht="12.95" customHeight="1">
      <c r="A651" s="55" t="s">
        <v>119</v>
      </c>
      <c r="B651" t="s">
        <v>462</v>
      </c>
      <c r="G651" s="1358" t="str">
        <f>C629</f>
        <v>Berkadis - Taxable</v>
      </c>
      <c r="H651" s="1358"/>
      <c r="I651" s="1358"/>
      <c r="J651" s="1358"/>
      <c r="K651" s="1358"/>
      <c r="L651" s="1358"/>
      <c r="M651" s="1358"/>
      <c r="N651" s="1358"/>
      <c r="O651" s="1358"/>
      <c r="P651" s="1358"/>
      <c r="Q651" s="1358"/>
      <c r="R651" s="1358"/>
      <c r="T651" s="55" t="s">
        <v>580</v>
      </c>
      <c r="U651" t="s">
        <v>462</v>
      </c>
      <c r="Z651" s="1358" t="str">
        <f>C630</f>
        <v>Green Manor Fund, LLC</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3"/>
        <v>#VALUE!</v>
      </c>
      <c r="DY651" s="1444"/>
      <c r="DZ651" s="1444"/>
      <c r="EA651" s="1444"/>
      <c r="EB651" s="1444"/>
      <c r="EC651" s="1444" t="e">
        <f t="shared" si="4"/>
        <v>#VALUE!</v>
      </c>
      <c r="ED651" s="1444"/>
      <c r="EE651" s="1444"/>
      <c r="EF651" s="1444"/>
      <c r="EG651" s="1444"/>
      <c r="EH651" s="1444" t="e">
        <f t="shared" si="5"/>
        <v>#VALUE!</v>
      </c>
      <c r="EI651" s="1444"/>
      <c r="EJ651" s="1444"/>
      <c r="EK651" s="1444"/>
      <c r="EL651" s="1444"/>
      <c r="EM651" s="1444" t="e">
        <f t="shared" si="6"/>
        <v>#VALUE!</v>
      </c>
      <c r="EN651" s="1444"/>
      <c r="EO651" s="1444"/>
      <c r="EP651" s="1444"/>
      <c r="EQ651" s="1444"/>
      <c r="ER651" s="1444" t="e">
        <f t="shared" si="7"/>
        <v>#VALUE!</v>
      </c>
      <c r="ES651" s="1444"/>
      <c r="ET651" s="1444"/>
      <c r="EU651" s="1444"/>
      <c r="EV651" s="1444"/>
      <c r="EW651" s="1444" t="e">
        <f t="shared" si="8"/>
        <v>#VALUE!</v>
      </c>
      <c r="EX651" s="1444"/>
      <c r="EY651" s="1444"/>
      <c r="EZ651" s="1444"/>
      <c r="FA651" s="1444"/>
    </row>
    <row r="652" spans="1:157" ht="12.95" customHeight="1">
      <c r="A652" s="22"/>
      <c r="B652" t="s">
        <v>85</v>
      </c>
      <c r="G652" s="1371" t="s">
        <v>2699</v>
      </c>
      <c r="H652" s="1371"/>
      <c r="I652" s="1371"/>
      <c r="J652" s="1371"/>
      <c r="K652" s="1371"/>
      <c r="L652" s="1371"/>
      <c r="M652" s="1371"/>
      <c r="N652" s="1371"/>
      <c r="O652" s="1371"/>
      <c r="P652" s="1371"/>
      <c r="Q652" s="1371"/>
      <c r="R652" s="1371"/>
      <c r="T652" s="22"/>
      <c r="U652" t="s">
        <v>85</v>
      </c>
      <c r="Z652" s="1371" t="str">
        <f>+Z586</f>
        <v>4142 Adams Ave., Ste 103-250</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3"/>
        <v>#VALUE!</v>
      </c>
      <c r="DY652" s="1444"/>
      <c r="DZ652" s="1444"/>
      <c r="EA652" s="1444"/>
      <c r="EB652" s="1444"/>
      <c r="EC652" s="1444" t="e">
        <f t="shared" si="4"/>
        <v>#VALUE!</v>
      </c>
      <c r="ED652" s="1444"/>
      <c r="EE652" s="1444"/>
      <c r="EF652" s="1444"/>
      <c r="EG652" s="1444"/>
      <c r="EH652" s="1444" t="e">
        <f t="shared" si="5"/>
        <v>#VALUE!</v>
      </c>
      <c r="EI652" s="1444"/>
      <c r="EJ652" s="1444"/>
      <c r="EK652" s="1444"/>
      <c r="EL652" s="1444"/>
      <c r="EM652" s="1444" t="e">
        <f t="shared" si="6"/>
        <v>#VALUE!</v>
      </c>
      <c r="EN652" s="1444"/>
      <c r="EO652" s="1444"/>
      <c r="EP652" s="1444"/>
      <c r="EQ652" s="1444"/>
      <c r="ER652" s="1444" t="e">
        <f t="shared" si="7"/>
        <v>#VALUE!</v>
      </c>
      <c r="ES652" s="1444"/>
      <c r="ET652" s="1444"/>
      <c r="EU652" s="1444"/>
      <c r="EV652" s="1444"/>
      <c r="EW652" s="1444" t="e">
        <f t="shared" si="8"/>
        <v>#VALUE!</v>
      </c>
      <c r="EX652" s="1444"/>
      <c r="EY652" s="1444"/>
      <c r="EZ652" s="1444"/>
      <c r="FA652" s="1444"/>
    </row>
    <row r="653" spans="1:157" ht="12.95" customHeight="1">
      <c r="A653" s="22"/>
      <c r="B653" t="s">
        <v>579</v>
      </c>
      <c r="G653" s="1348" t="s">
        <v>493</v>
      </c>
      <c r="H653" s="1348"/>
      <c r="I653" s="1348"/>
      <c r="J653" s="1348"/>
      <c r="K653" s="1348"/>
      <c r="L653" s="1348"/>
      <c r="M653" s="1348"/>
      <c r="N653" s="1348"/>
      <c r="O653" s="1348"/>
      <c r="P653" s="1348"/>
      <c r="Q653" s="1348"/>
      <c r="R653" s="1348"/>
      <c r="T653" s="22"/>
      <c r="U653" t="s">
        <v>579</v>
      </c>
      <c r="Z653" s="1348" t="str">
        <f t="shared" ref="Z653:Z654" si="9">+Z587</f>
        <v>San Diego</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3"/>
        <v>#VALUE!</v>
      </c>
      <c r="DY653" s="1444"/>
      <c r="DZ653" s="1444"/>
      <c r="EA653" s="1444"/>
      <c r="EB653" s="1444"/>
      <c r="EC653" s="1444" t="e">
        <f t="shared" si="4"/>
        <v>#VALUE!</v>
      </c>
      <c r="ED653" s="1444"/>
      <c r="EE653" s="1444"/>
      <c r="EF653" s="1444"/>
      <c r="EG653" s="1444"/>
      <c r="EH653" s="1444" t="e">
        <f t="shared" si="5"/>
        <v>#VALUE!</v>
      </c>
      <c r="EI653" s="1444"/>
      <c r="EJ653" s="1444"/>
      <c r="EK653" s="1444"/>
      <c r="EL653" s="1444"/>
      <c r="EM653" s="1444" t="e">
        <f t="shared" si="6"/>
        <v>#VALUE!</v>
      </c>
      <c r="EN653" s="1444"/>
      <c r="EO653" s="1444"/>
      <c r="EP653" s="1444"/>
      <c r="EQ653" s="1444"/>
      <c r="ER653" s="1444" t="e">
        <f t="shared" si="7"/>
        <v>#VALUE!</v>
      </c>
      <c r="ES653" s="1444"/>
      <c r="ET653" s="1444"/>
      <c r="EU653" s="1444"/>
      <c r="EV653" s="1444"/>
      <c r="EW653" s="1444" t="e">
        <f t="shared" si="8"/>
        <v>#VALUE!</v>
      </c>
      <c r="EX653" s="1444"/>
      <c r="EY653" s="1444"/>
      <c r="EZ653" s="1444"/>
      <c r="FA653" s="1444"/>
    </row>
    <row r="654" spans="1:157" ht="12.95" customHeight="1">
      <c r="A654" s="22"/>
      <c r="B654" t="s">
        <v>17</v>
      </c>
      <c r="G654" s="1348" t="s">
        <v>2700</v>
      </c>
      <c r="H654" s="1348"/>
      <c r="I654" s="1348"/>
      <c r="J654" s="1348"/>
      <c r="K654" s="1348"/>
      <c r="L654" s="1348"/>
      <c r="M654" s="1348"/>
      <c r="N654" s="1348"/>
      <c r="O654" s="1348"/>
      <c r="P654" s="1348"/>
      <c r="Q654" s="1348"/>
      <c r="R654" s="1348"/>
      <c r="T654" s="22"/>
      <c r="U654" t="s">
        <v>17</v>
      </c>
      <c r="Z654" s="1348" t="str">
        <f t="shared" si="9"/>
        <v>David Beacham</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3"/>
        <v>#VALUE!</v>
      </c>
      <c r="DY654" s="1444"/>
      <c r="DZ654" s="1444"/>
      <c r="EA654" s="1444"/>
      <c r="EB654" s="1444"/>
      <c r="EC654" s="1444" t="e">
        <f t="shared" si="4"/>
        <v>#VALUE!</v>
      </c>
      <c r="ED654" s="1444"/>
      <c r="EE654" s="1444"/>
      <c r="EF654" s="1444"/>
      <c r="EG654" s="1444"/>
      <c r="EH654" s="1444" t="e">
        <f t="shared" si="5"/>
        <v>#VALUE!</v>
      </c>
      <c r="EI654" s="1444"/>
      <c r="EJ654" s="1444"/>
      <c r="EK654" s="1444"/>
      <c r="EL654" s="1444"/>
      <c r="EM654" s="1444" t="e">
        <f t="shared" si="6"/>
        <v>#VALUE!</v>
      </c>
      <c r="EN654" s="1444"/>
      <c r="EO654" s="1444"/>
      <c r="EP654" s="1444"/>
      <c r="EQ654" s="1444"/>
      <c r="ER654" s="1444" t="e">
        <f t="shared" si="7"/>
        <v>#VALUE!</v>
      </c>
      <c r="ES654" s="1444"/>
      <c r="ET654" s="1444"/>
      <c r="EU654" s="1444"/>
      <c r="EV654" s="1444"/>
      <c r="EW654" s="1444" t="e">
        <f t="shared" si="8"/>
        <v>#VALUE!</v>
      </c>
      <c r="EX654" s="1444"/>
      <c r="EY654" s="1444"/>
      <c r="EZ654" s="1444"/>
      <c r="FA654" s="1444"/>
    </row>
    <row r="655" spans="1:157" ht="12.95" customHeight="1">
      <c r="A655" s="22"/>
      <c r="B655" t="s">
        <v>316</v>
      </c>
      <c r="G655" s="1346" t="str">
        <f>+$G$572</f>
        <v>310-209-3244</v>
      </c>
      <c r="H655" s="1346"/>
      <c r="I655" s="1346"/>
      <c r="J655" s="1346"/>
      <c r="K655" s="1346"/>
      <c r="L655" s="1346"/>
      <c r="O655" s="33" t="s">
        <v>206</v>
      </c>
      <c r="P655" s="1436"/>
      <c r="Q655" s="1436"/>
      <c r="R655" s="1436"/>
      <c r="T655" s="22"/>
      <c r="U655" t="s">
        <v>316</v>
      </c>
      <c r="Z655" s="1694" t="s">
        <v>2622</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3"/>
        <v>#VALUE!</v>
      </c>
      <c r="DY655" s="1444"/>
      <c r="DZ655" s="1444"/>
      <c r="EA655" s="1444"/>
      <c r="EB655" s="1444"/>
      <c r="EC655" s="1444" t="e">
        <f t="shared" si="4"/>
        <v>#VALUE!</v>
      </c>
      <c r="ED655" s="1444"/>
      <c r="EE655" s="1444"/>
      <c r="EF655" s="1444"/>
      <c r="EG655" s="1444"/>
      <c r="EH655" s="1444" t="e">
        <f t="shared" si="5"/>
        <v>#VALUE!</v>
      </c>
      <c r="EI655" s="1444"/>
      <c r="EJ655" s="1444"/>
      <c r="EK655" s="1444"/>
      <c r="EL655" s="1444"/>
      <c r="EM655" s="1444" t="e">
        <f t="shared" si="6"/>
        <v>#VALUE!</v>
      </c>
      <c r="EN655" s="1444"/>
      <c r="EO655" s="1444"/>
      <c r="EP655" s="1444"/>
      <c r="EQ655" s="1444"/>
      <c r="ER655" s="1444" t="e">
        <f t="shared" si="7"/>
        <v>#VALUE!</v>
      </c>
      <c r="ES655" s="1444"/>
      <c r="ET655" s="1444"/>
      <c r="EU655" s="1444"/>
      <c r="EV655" s="1444"/>
      <c r="EW655" s="1444" t="e">
        <f t="shared" si="8"/>
        <v>#VALUE!</v>
      </c>
      <c r="EX655" s="1444"/>
      <c r="EY655" s="1444"/>
      <c r="EZ655" s="1444"/>
      <c r="FA655" s="1444"/>
    </row>
    <row r="656" spans="1:157" ht="12.95" customHeight="1">
      <c r="A656" s="22"/>
      <c r="B656" t="s">
        <v>18</v>
      </c>
      <c r="H656" s="1371" t="str">
        <f>+M629</f>
        <v>Loan, Taxable</v>
      </c>
      <c r="I656" s="1371"/>
      <c r="J656" s="1371"/>
      <c r="K656" s="1371"/>
      <c r="L656" s="1371"/>
      <c r="M656" s="1371"/>
      <c r="N656" s="1371"/>
      <c r="O656" s="1371"/>
      <c r="P656" s="1371"/>
      <c r="Q656" s="1371"/>
      <c r="R656" s="1371"/>
      <c r="T656" s="22"/>
      <c r="U656" t="s">
        <v>18</v>
      </c>
      <c r="AA656" s="1371" t="str">
        <f>+M630</f>
        <v>Equity, Other Investor</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3"/>
        <v>#VALUE!</v>
      </c>
      <c r="DY656" s="1444"/>
      <c r="DZ656" s="1444"/>
      <c r="EA656" s="1444"/>
      <c r="EB656" s="1444"/>
      <c r="EC656" s="1444" t="e">
        <f t="shared" si="4"/>
        <v>#VALUE!</v>
      </c>
      <c r="ED656" s="1444"/>
      <c r="EE656" s="1444"/>
      <c r="EF656" s="1444"/>
      <c r="EG656" s="1444"/>
      <c r="EH656" s="1444" t="e">
        <f t="shared" si="5"/>
        <v>#VALUE!</v>
      </c>
      <c r="EI656" s="1444"/>
      <c r="EJ656" s="1444"/>
      <c r="EK656" s="1444"/>
      <c r="EL656" s="1444"/>
      <c r="EM656" s="1444" t="e">
        <f t="shared" si="6"/>
        <v>#VALUE!</v>
      </c>
      <c r="EN656" s="1444"/>
      <c r="EO656" s="1444"/>
      <c r="EP656" s="1444"/>
      <c r="EQ656" s="1444"/>
      <c r="ER656" s="1444" t="e">
        <f t="shared" si="7"/>
        <v>#VALUE!</v>
      </c>
      <c r="ES656" s="1444"/>
      <c r="ET656" s="1444"/>
      <c r="EU656" s="1444"/>
      <c r="EV656" s="1444"/>
      <c r="EW656" s="1444" t="e">
        <f t="shared" si="8"/>
        <v>#VALUE!</v>
      </c>
      <c r="EX656" s="1444"/>
      <c r="EY656" s="1444"/>
      <c r="EZ656" s="1444"/>
      <c r="FA656" s="1444"/>
    </row>
    <row r="657" spans="1:157" ht="12.95" customHeight="1">
      <c r="A657" s="22"/>
      <c r="B657" t="s">
        <v>20</v>
      </c>
      <c r="N657" s="1332" t="s">
        <v>544</v>
      </c>
      <c r="O657" s="1332"/>
      <c r="T657" s="22"/>
      <c r="U657" t="s">
        <v>20</v>
      </c>
      <c r="AG657" s="1332" t="s">
        <v>544</v>
      </c>
      <c r="AH657" s="1332"/>
      <c r="AZ657" s="34"/>
      <c r="BA657" s="34"/>
      <c r="BB657" s="34"/>
      <c r="BC657" s="34"/>
      <c r="BD657" s="34"/>
      <c r="BE657" s="34"/>
      <c r="BF657" s="34"/>
      <c r="BG657" s="34"/>
      <c r="BH657" s="34"/>
      <c r="BI657" s="34"/>
      <c r="BJ657" s="34"/>
      <c r="BK657" s="34"/>
      <c r="BL657" s="34"/>
      <c r="BM657" s="34"/>
      <c r="DX657" s="1444" t="e">
        <f t="shared" si="3"/>
        <v>#VALUE!</v>
      </c>
      <c r="DY657" s="1444"/>
      <c r="DZ657" s="1444"/>
      <c r="EA657" s="1444"/>
      <c r="EB657" s="1444"/>
      <c r="EC657" s="1444" t="e">
        <f t="shared" si="4"/>
        <v>#VALUE!</v>
      </c>
      <c r="ED657" s="1444"/>
      <c r="EE657" s="1444"/>
      <c r="EF657" s="1444"/>
      <c r="EG657" s="1444"/>
      <c r="EH657" s="1444" t="e">
        <f t="shared" si="5"/>
        <v>#VALUE!</v>
      </c>
      <c r="EI657" s="1444"/>
      <c r="EJ657" s="1444"/>
      <c r="EK657" s="1444"/>
      <c r="EL657" s="1444"/>
      <c r="EM657" s="1444" t="e">
        <f t="shared" si="6"/>
        <v>#VALUE!</v>
      </c>
      <c r="EN657" s="1444"/>
      <c r="EO657" s="1444"/>
      <c r="EP657" s="1444"/>
      <c r="EQ657" s="1444"/>
      <c r="ER657" s="1444" t="e">
        <f t="shared" si="7"/>
        <v>#VALUE!</v>
      </c>
      <c r="ES657" s="1444"/>
      <c r="ET657" s="1444"/>
      <c r="EU657" s="1444"/>
      <c r="EV657" s="1444"/>
      <c r="EW657" s="1444" t="e">
        <f t="shared" si="8"/>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3"/>
        <v>#VALUE!</v>
      </c>
      <c r="DY658" s="1444"/>
      <c r="DZ658" s="1444"/>
      <c r="EA658" s="1444"/>
      <c r="EB658" s="1444"/>
      <c r="EC658" s="1444" t="e">
        <f t="shared" si="4"/>
        <v>#VALUE!</v>
      </c>
      <c r="ED658" s="1444"/>
      <c r="EE658" s="1444"/>
      <c r="EF658" s="1444"/>
      <c r="EG658" s="1444"/>
      <c r="EH658" s="1444" t="e">
        <f t="shared" si="5"/>
        <v>#VALUE!</v>
      </c>
      <c r="EI658" s="1444"/>
      <c r="EJ658" s="1444"/>
      <c r="EK658" s="1444"/>
      <c r="EL658" s="1444"/>
      <c r="EM658" s="1444" t="e">
        <f t="shared" si="6"/>
        <v>#VALUE!</v>
      </c>
      <c r="EN658" s="1444"/>
      <c r="EO658" s="1444"/>
      <c r="EP658" s="1444"/>
      <c r="EQ658" s="1444"/>
      <c r="ER658" s="1444" t="e">
        <f t="shared" si="7"/>
        <v>#VALUE!</v>
      </c>
      <c r="ES658" s="1444"/>
      <c r="ET658" s="1444"/>
      <c r="EU658" s="1444"/>
      <c r="EV658" s="1444"/>
      <c r="EW658" s="1444" t="e">
        <f t="shared" si="8"/>
        <v>#VALUE!</v>
      </c>
      <c r="EX658" s="1444"/>
      <c r="EY658" s="1444"/>
      <c r="EZ658" s="1444"/>
      <c r="FA658" s="1444"/>
    </row>
    <row r="659" spans="1:157" ht="12.95" customHeight="1">
      <c r="A659" s="55" t="s">
        <v>762</v>
      </c>
      <c r="B659" t="s">
        <v>462</v>
      </c>
      <c r="G659" s="1358">
        <f>C631</f>
        <v>0</v>
      </c>
      <c r="H659" s="1358"/>
      <c r="I659" s="1358"/>
      <c r="J659" s="1358"/>
      <c r="K659" s="1358"/>
      <c r="L659" s="1358"/>
      <c r="M659" s="1358"/>
      <c r="N659" s="1358"/>
      <c r="O659" s="1358"/>
      <c r="P659" s="1358"/>
      <c r="Q659" s="1358"/>
      <c r="R659" s="1358"/>
      <c r="T659" s="55" t="s">
        <v>583</v>
      </c>
      <c r="U659" t="s">
        <v>462</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3"/>
        <v>#VALUE!</v>
      </c>
      <c r="DY659" s="1444"/>
      <c r="DZ659" s="1444"/>
      <c r="EA659" s="1444"/>
      <c r="EB659" s="1444"/>
      <c r="EC659" s="1444" t="e">
        <f t="shared" si="4"/>
        <v>#VALUE!</v>
      </c>
      <c r="ED659" s="1444"/>
      <c r="EE659" s="1444"/>
      <c r="EF659" s="1444"/>
      <c r="EG659" s="1444"/>
      <c r="EH659" s="1444" t="e">
        <f t="shared" si="5"/>
        <v>#VALUE!</v>
      </c>
      <c r="EI659" s="1444"/>
      <c r="EJ659" s="1444"/>
      <c r="EK659" s="1444"/>
      <c r="EL659" s="1444"/>
      <c r="EM659" s="1444" t="e">
        <f t="shared" si="6"/>
        <v>#VALUE!</v>
      </c>
      <c r="EN659" s="1444"/>
      <c r="EO659" s="1444"/>
      <c r="EP659" s="1444"/>
      <c r="EQ659" s="1444"/>
      <c r="ER659" s="1444" t="e">
        <f t="shared" si="7"/>
        <v>#VALUE!</v>
      </c>
      <c r="ES659" s="1444"/>
      <c r="ET659" s="1444"/>
      <c r="EU659" s="1444"/>
      <c r="EV659" s="1444"/>
      <c r="EW659" s="1444" t="e">
        <f t="shared" si="8"/>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3"/>
        <v>#VALUE!</v>
      </c>
      <c r="DY660" s="1444"/>
      <c r="DZ660" s="1444"/>
      <c r="EA660" s="1444"/>
      <c r="EB660" s="1444"/>
      <c r="EC660" s="1444" t="e">
        <f t="shared" si="4"/>
        <v>#VALUE!</v>
      </c>
      <c r="ED660" s="1444"/>
      <c r="EE660" s="1444"/>
      <c r="EF660" s="1444"/>
      <c r="EG660" s="1444"/>
      <c r="EH660" s="1444" t="e">
        <f t="shared" si="5"/>
        <v>#VALUE!</v>
      </c>
      <c r="EI660" s="1444"/>
      <c r="EJ660" s="1444"/>
      <c r="EK660" s="1444"/>
      <c r="EL660" s="1444"/>
      <c r="EM660" s="1444" t="e">
        <f t="shared" si="6"/>
        <v>#VALUE!</v>
      </c>
      <c r="EN660" s="1444"/>
      <c r="EO660" s="1444"/>
      <c r="EP660" s="1444"/>
      <c r="EQ660" s="1444"/>
      <c r="ER660" s="1444" t="e">
        <f t="shared" si="7"/>
        <v>#VALUE!</v>
      </c>
      <c r="ES660" s="1444"/>
      <c r="ET660" s="1444"/>
      <c r="EU660" s="1444"/>
      <c r="EV660" s="1444"/>
      <c r="EW660" s="1444" t="e">
        <f t="shared" si="8"/>
        <v>#VALUE!</v>
      </c>
      <c r="EX660" s="1444"/>
      <c r="EY660" s="1444"/>
      <c r="EZ660" s="1444"/>
      <c r="FA660" s="1444"/>
    </row>
    <row r="661" spans="1:157" ht="12.95" customHeight="1">
      <c r="A661" s="22"/>
      <c r="B661" t="s">
        <v>579</v>
      </c>
      <c r="G661" s="1371"/>
      <c r="H661" s="1371"/>
      <c r="I661" s="1371"/>
      <c r="J661" s="1371"/>
      <c r="K661" s="1371"/>
      <c r="L661" s="1371"/>
      <c r="M661" s="1371"/>
      <c r="N661" s="1371"/>
      <c r="O661" s="1371"/>
      <c r="P661" s="1371"/>
      <c r="Q661" s="1371"/>
      <c r="R661" s="1371"/>
      <c r="T661" s="22"/>
      <c r="U661" t="s">
        <v>579</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3"/>
        <v>#VALUE!</v>
      </c>
      <c r="DY661" s="1444"/>
      <c r="DZ661" s="1444"/>
      <c r="EA661" s="1444"/>
      <c r="EB661" s="1444"/>
      <c r="EC661" s="1444" t="e">
        <f t="shared" si="4"/>
        <v>#VALUE!</v>
      </c>
      <c r="ED661" s="1444"/>
      <c r="EE661" s="1444"/>
      <c r="EF661" s="1444"/>
      <c r="EG661" s="1444"/>
      <c r="EH661" s="1444" t="e">
        <f t="shared" si="5"/>
        <v>#VALUE!</v>
      </c>
      <c r="EI661" s="1444"/>
      <c r="EJ661" s="1444"/>
      <c r="EK661" s="1444"/>
      <c r="EL661" s="1444"/>
      <c r="EM661" s="1444" t="e">
        <f t="shared" si="6"/>
        <v>#VALUE!</v>
      </c>
      <c r="EN661" s="1444"/>
      <c r="EO661" s="1444"/>
      <c r="EP661" s="1444"/>
      <c r="EQ661" s="1444"/>
      <c r="ER661" s="1444" t="e">
        <f t="shared" si="7"/>
        <v>#VALUE!</v>
      </c>
      <c r="ES661" s="1444"/>
      <c r="ET661" s="1444"/>
      <c r="EU661" s="1444"/>
      <c r="EV661" s="1444"/>
      <c r="EW661" s="1444" t="e">
        <f t="shared" si="8"/>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3"/>
        <v>#VALUE!</v>
      </c>
      <c r="DY662" s="1444"/>
      <c r="DZ662" s="1444"/>
      <c r="EA662" s="1444"/>
      <c r="EB662" s="1444"/>
      <c r="EC662" s="1444" t="e">
        <f t="shared" si="4"/>
        <v>#VALUE!</v>
      </c>
      <c r="ED662" s="1444"/>
      <c r="EE662" s="1444"/>
      <c r="EF662" s="1444"/>
      <c r="EG662" s="1444"/>
      <c r="EH662" s="1444" t="e">
        <f t="shared" si="5"/>
        <v>#VALUE!</v>
      </c>
      <c r="EI662" s="1444"/>
      <c r="EJ662" s="1444"/>
      <c r="EK662" s="1444"/>
      <c r="EL662" s="1444"/>
      <c r="EM662" s="1444" t="e">
        <f t="shared" si="6"/>
        <v>#VALUE!</v>
      </c>
      <c r="EN662" s="1444"/>
      <c r="EO662" s="1444"/>
      <c r="EP662" s="1444"/>
      <c r="EQ662" s="1444"/>
      <c r="ER662" s="1444" t="e">
        <f t="shared" si="7"/>
        <v>#VALUE!</v>
      </c>
      <c r="ES662" s="1444"/>
      <c r="ET662" s="1444"/>
      <c r="EU662" s="1444"/>
      <c r="EV662" s="1444"/>
      <c r="EW662" s="1444" t="e">
        <f t="shared" si="8"/>
        <v>#VALUE!</v>
      </c>
      <c r="EX662" s="1444"/>
      <c r="EY662" s="1444"/>
      <c r="EZ662" s="1444"/>
      <c r="FA662" s="1444"/>
    </row>
    <row r="663" spans="1:157" ht="12.95" customHeight="1">
      <c r="A663" s="22"/>
      <c r="B663" t="s">
        <v>316</v>
      </c>
      <c r="G663" s="1346"/>
      <c r="H663" s="1346"/>
      <c r="I663" s="1346"/>
      <c r="J663" s="1346"/>
      <c r="K663" s="1346"/>
      <c r="L663" s="1346"/>
      <c r="O663" s="33" t="s">
        <v>206</v>
      </c>
      <c r="P663" s="1436"/>
      <c r="Q663" s="1436"/>
      <c r="R663" s="1436"/>
      <c r="T663" s="22"/>
      <c r="U663" t="s">
        <v>316</v>
      </c>
      <c r="Z663" s="1346"/>
      <c r="AA663" s="1346"/>
      <c r="AB663" s="1346"/>
      <c r="AC663" s="1346"/>
      <c r="AD663" s="1346"/>
      <c r="AE663" s="1346"/>
      <c r="AH663" s="33" t="s">
        <v>206</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3"/>
        <v>#VALUE!</v>
      </c>
      <c r="DY663" s="1444"/>
      <c r="DZ663" s="1444"/>
      <c r="EA663" s="1444"/>
      <c r="EB663" s="1444"/>
      <c r="EC663" s="1444" t="e">
        <f t="shared" si="4"/>
        <v>#VALUE!</v>
      </c>
      <c r="ED663" s="1444"/>
      <c r="EE663" s="1444"/>
      <c r="EF663" s="1444"/>
      <c r="EG663" s="1444"/>
      <c r="EH663" s="1444" t="e">
        <f t="shared" si="5"/>
        <v>#VALUE!</v>
      </c>
      <c r="EI663" s="1444"/>
      <c r="EJ663" s="1444"/>
      <c r="EK663" s="1444"/>
      <c r="EL663" s="1444"/>
      <c r="EM663" s="1444" t="e">
        <f t="shared" si="6"/>
        <v>#VALUE!</v>
      </c>
      <c r="EN663" s="1444"/>
      <c r="EO663" s="1444"/>
      <c r="EP663" s="1444"/>
      <c r="EQ663" s="1444"/>
      <c r="ER663" s="1444" t="e">
        <f t="shared" si="7"/>
        <v>#VALUE!</v>
      </c>
      <c r="ES663" s="1444"/>
      <c r="ET663" s="1444"/>
      <c r="EU663" s="1444"/>
      <c r="EV663" s="1444"/>
      <c r="EW663" s="1444" t="e">
        <f t="shared" si="8"/>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3"/>
        <v>#VALUE!</v>
      </c>
      <c r="DY664" s="1444"/>
      <c r="DZ664" s="1444"/>
      <c r="EA664" s="1444"/>
      <c r="EB664" s="1444"/>
      <c r="EC664" s="1444" t="e">
        <f t="shared" si="4"/>
        <v>#VALUE!</v>
      </c>
      <c r="ED664" s="1444"/>
      <c r="EE664" s="1444"/>
      <c r="EF664" s="1444"/>
      <c r="EG664" s="1444"/>
      <c r="EH664" s="1444" t="e">
        <f t="shared" si="5"/>
        <v>#VALUE!</v>
      </c>
      <c r="EI664" s="1444"/>
      <c r="EJ664" s="1444"/>
      <c r="EK664" s="1444"/>
      <c r="EL664" s="1444"/>
      <c r="EM664" s="1444" t="e">
        <f t="shared" si="6"/>
        <v>#VALUE!</v>
      </c>
      <c r="EN664" s="1444"/>
      <c r="EO664" s="1444"/>
      <c r="EP664" s="1444"/>
      <c r="EQ664" s="1444"/>
      <c r="ER664" s="1444" t="e">
        <f t="shared" si="7"/>
        <v>#VALUE!</v>
      </c>
      <c r="ES664" s="1444"/>
      <c r="ET664" s="1444"/>
      <c r="EU664" s="1444"/>
      <c r="EV664" s="1444"/>
      <c r="EW664" s="1444" t="e">
        <f t="shared" si="8"/>
        <v>#VALUE!</v>
      </c>
      <c r="EX664" s="1444"/>
      <c r="EY664" s="1444"/>
      <c r="EZ664" s="1444"/>
      <c r="FA664" s="1444"/>
    </row>
    <row r="665" spans="1:157" ht="12.95" customHeight="1">
      <c r="A665" s="22"/>
      <c r="B665" t="s">
        <v>20</v>
      </c>
      <c r="N665" s="1332" t="s">
        <v>668</v>
      </c>
      <c r="O665" s="1332"/>
      <c r="T665" s="22"/>
      <c r="U665" t="s">
        <v>20</v>
      </c>
      <c r="AG665" s="1332" t="s">
        <v>668</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3"/>
        <v>#VALUE!</v>
      </c>
      <c r="DY665" s="1444"/>
      <c r="DZ665" s="1444"/>
      <c r="EA665" s="1444"/>
      <c r="EB665" s="1444"/>
      <c r="EC665" s="1444" t="e">
        <f t="shared" si="4"/>
        <v>#VALUE!</v>
      </c>
      <c r="ED665" s="1444"/>
      <c r="EE665" s="1444"/>
      <c r="EF665" s="1444"/>
      <c r="EG665" s="1444"/>
      <c r="EH665" s="1444" t="e">
        <f t="shared" si="5"/>
        <v>#VALUE!</v>
      </c>
      <c r="EI665" s="1444"/>
      <c r="EJ665" s="1444"/>
      <c r="EK665" s="1444"/>
      <c r="EL665" s="1444"/>
      <c r="EM665" s="1444" t="e">
        <f t="shared" si="6"/>
        <v>#VALUE!</v>
      </c>
      <c r="EN665" s="1444"/>
      <c r="EO665" s="1444"/>
      <c r="EP665" s="1444"/>
      <c r="EQ665" s="1444"/>
      <c r="ER665" s="1444" t="e">
        <f t="shared" si="7"/>
        <v>#VALUE!</v>
      </c>
      <c r="ES665" s="1444"/>
      <c r="ET665" s="1444"/>
      <c r="EU665" s="1444"/>
      <c r="EV665" s="1444"/>
      <c r="EW665" s="1444" t="e">
        <f t="shared" si="8"/>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3"/>
        <v>#VALUE!</v>
      </c>
      <c r="DY666" s="1444"/>
      <c r="DZ666" s="1444"/>
      <c r="EA666" s="1444"/>
      <c r="EB666" s="1444"/>
      <c r="EC666" s="1444" t="e">
        <f t="shared" si="4"/>
        <v>#VALUE!</v>
      </c>
      <c r="ED666" s="1444"/>
      <c r="EE666" s="1444"/>
      <c r="EF666" s="1444"/>
      <c r="EG666" s="1444"/>
      <c r="EH666" s="1444" t="e">
        <f t="shared" si="5"/>
        <v>#VALUE!</v>
      </c>
      <c r="EI666" s="1444"/>
      <c r="EJ666" s="1444"/>
      <c r="EK666" s="1444"/>
      <c r="EL666" s="1444"/>
      <c r="EM666" s="1444" t="e">
        <f t="shared" si="6"/>
        <v>#VALUE!</v>
      </c>
      <c r="EN666" s="1444"/>
      <c r="EO666" s="1444"/>
      <c r="EP666" s="1444"/>
      <c r="EQ666" s="1444"/>
      <c r="ER666" s="1444" t="e">
        <f t="shared" si="7"/>
        <v>#VALUE!</v>
      </c>
      <c r="ES666" s="1444"/>
      <c r="ET666" s="1444"/>
      <c r="EU666" s="1444"/>
      <c r="EV666" s="1444"/>
      <c r="EW666" s="1444" t="e">
        <f t="shared" si="8"/>
        <v>#VALUE!</v>
      </c>
      <c r="EX666" s="1444"/>
      <c r="EY666" s="1444"/>
      <c r="EZ666" s="1444"/>
      <c r="FA666" s="1444"/>
    </row>
    <row r="667" spans="1:157" ht="12.95" customHeight="1">
      <c r="A667" s="55" t="s">
        <v>454</v>
      </c>
      <c r="B667" t="s">
        <v>462</v>
      </c>
      <c r="G667" s="1358">
        <f>C633</f>
        <v>0</v>
      </c>
      <c r="H667" s="1358"/>
      <c r="I667" s="1358"/>
      <c r="J667" s="1358"/>
      <c r="K667" s="1358"/>
      <c r="L667" s="1358"/>
      <c r="M667" s="1358"/>
      <c r="N667" s="1358"/>
      <c r="O667" s="1358"/>
      <c r="P667" s="1358"/>
      <c r="Q667" s="1358"/>
      <c r="R667" s="1358"/>
      <c r="T667" s="55" t="s">
        <v>455</v>
      </c>
      <c r="U667" t="s">
        <v>462</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3"/>
        <v>#VALUE!</v>
      </c>
      <c r="DY667" s="1444"/>
      <c r="DZ667" s="1444"/>
      <c r="EA667" s="1444"/>
      <c r="EB667" s="1444"/>
      <c r="EC667" s="1444" t="e">
        <f t="shared" si="4"/>
        <v>#VALUE!</v>
      </c>
      <c r="ED667" s="1444"/>
      <c r="EE667" s="1444"/>
      <c r="EF667" s="1444"/>
      <c r="EG667" s="1444"/>
      <c r="EH667" s="1444" t="e">
        <f t="shared" si="5"/>
        <v>#VALUE!</v>
      </c>
      <c r="EI667" s="1444"/>
      <c r="EJ667" s="1444"/>
      <c r="EK667" s="1444"/>
      <c r="EL667" s="1444"/>
      <c r="EM667" s="1444" t="e">
        <f t="shared" si="6"/>
        <v>#VALUE!</v>
      </c>
      <c r="EN667" s="1444"/>
      <c r="EO667" s="1444"/>
      <c r="EP667" s="1444"/>
      <c r="EQ667" s="1444"/>
      <c r="ER667" s="1444" t="e">
        <f t="shared" si="7"/>
        <v>#VALUE!</v>
      </c>
      <c r="ES667" s="1444"/>
      <c r="ET667" s="1444"/>
      <c r="EU667" s="1444"/>
      <c r="EV667" s="1444"/>
      <c r="EW667" s="1444" t="e">
        <f t="shared" si="8"/>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3"/>
        <v>#VALUE!</v>
      </c>
      <c r="DY668" s="1444"/>
      <c r="DZ668" s="1444"/>
      <c r="EA668" s="1444"/>
      <c r="EB668" s="1444"/>
      <c r="EC668" s="1444" t="e">
        <f t="shared" si="4"/>
        <v>#VALUE!</v>
      </c>
      <c r="ED668" s="1444"/>
      <c r="EE668" s="1444"/>
      <c r="EF668" s="1444"/>
      <c r="EG668" s="1444"/>
      <c r="EH668" s="1444" t="e">
        <f t="shared" si="5"/>
        <v>#VALUE!</v>
      </c>
      <c r="EI668" s="1444"/>
      <c r="EJ668" s="1444"/>
      <c r="EK668" s="1444"/>
      <c r="EL668" s="1444"/>
      <c r="EM668" s="1444" t="e">
        <f t="shared" si="6"/>
        <v>#VALUE!</v>
      </c>
      <c r="EN668" s="1444"/>
      <c r="EO668" s="1444"/>
      <c r="EP668" s="1444"/>
      <c r="EQ668" s="1444"/>
      <c r="ER668" s="1444" t="e">
        <f t="shared" si="7"/>
        <v>#VALUE!</v>
      </c>
      <c r="ES668" s="1444"/>
      <c r="ET668" s="1444"/>
      <c r="EU668" s="1444"/>
      <c r="EV668" s="1444"/>
      <c r="EW668" s="1444" t="e">
        <f t="shared" si="8"/>
        <v>#VALUE!</v>
      </c>
      <c r="EX668" s="1444"/>
      <c r="EY668" s="1444"/>
      <c r="EZ668" s="1444"/>
      <c r="FA668" s="1444"/>
    </row>
    <row r="669" spans="1:157" ht="12.95" customHeight="1">
      <c r="A669" s="22"/>
      <c r="B669" t="s">
        <v>579</v>
      </c>
      <c r="G669" s="1371"/>
      <c r="H669" s="1371"/>
      <c r="I669" s="1371"/>
      <c r="J669" s="1371"/>
      <c r="K669" s="1371"/>
      <c r="L669" s="1371"/>
      <c r="M669" s="1371"/>
      <c r="N669" s="1371"/>
      <c r="O669" s="1371"/>
      <c r="P669" s="1371"/>
      <c r="Q669" s="1371"/>
      <c r="R669" s="1371"/>
      <c r="T669" s="22"/>
      <c r="U669" t="s">
        <v>579</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3"/>
        <v>#VALUE!</v>
      </c>
      <c r="DY669" s="1444"/>
      <c r="DZ669" s="1444"/>
      <c r="EA669" s="1444"/>
      <c r="EB669" s="1444"/>
      <c r="EC669" s="1444" t="e">
        <f t="shared" si="4"/>
        <v>#VALUE!</v>
      </c>
      <c r="ED669" s="1444"/>
      <c r="EE669" s="1444"/>
      <c r="EF669" s="1444"/>
      <c r="EG669" s="1444"/>
      <c r="EH669" s="1444" t="e">
        <f t="shared" si="5"/>
        <v>#VALUE!</v>
      </c>
      <c r="EI669" s="1444"/>
      <c r="EJ669" s="1444"/>
      <c r="EK669" s="1444"/>
      <c r="EL669" s="1444"/>
      <c r="EM669" s="1444" t="e">
        <f t="shared" si="6"/>
        <v>#VALUE!</v>
      </c>
      <c r="EN669" s="1444"/>
      <c r="EO669" s="1444"/>
      <c r="EP669" s="1444"/>
      <c r="EQ669" s="1444"/>
      <c r="ER669" s="1444" t="e">
        <f t="shared" si="7"/>
        <v>#VALUE!</v>
      </c>
      <c r="ES669" s="1444"/>
      <c r="ET669" s="1444"/>
      <c r="EU669" s="1444"/>
      <c r="EV669" s="1444"/>
      <c r="EW669" s="1444" t="e">
        <f t="shared" si="8"/>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1207.7676767676767</v>
      </c>
      <c r="DY670" s="1444"/>
      <c r="DZ670" s="1444"/>
      <c r="EA670" s="1444"/>
      <c r="EB670" s="1444"/>
      <c r="EC670" s="1444">
        <f>SUMIF(EC635:EG669,"&gt;0")</f>
        <v>1219.5</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c r="H671" s="1346"/>
      <c r="I671" s="1346"/>
      <c r="J671" s="1346"/>
      <c r="K671" s="1346"/>
      <c r="L671" s="1346"/>
      <c r="O671" s="33" t="s">
        <v>206</v>
      </c>
      <c r="P671" s="1436"/>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668</v>
      </c>
      <c r="O673" s="1332"/>
      <c r="T673" s="22"/>
      <c r="U673" t="s">
        <v>20</v>
      </c>
      <c r="AG673" s="1332" t="s">
        <v>668</v>
      </c>
      <c r="AH673" s="1332"/>
      <c r="AZ673" s="3"/>
    </row>
    <row r="674" spans="1:52" ht="12.95" customHeight="1">
      <c r="A674" s="22"/>
      <c r="T674" s="22"/>
      <c r="AZ674" s="3"/>
    </row>
    <row r="675" spans="1:52" ht="12.95" customHeight="1">
      <c r="A675" s="55" t="s">
        <v>460</v>
      </c>
      <c r="B675" t="s">
        <v>462</v>
      </c>
      <c r="G675" s="1358">
        <f>C635</f>
        <v>0</v>
      </c>
      <c r="H675" s="1358"/>
      <c r="I675" s="1358"/>
      <c r="J675" s="1358"/>
      <c r="K675" s="1358"/>
      <c r="L675" s="1358"/>
      <c r="M675" s="1358"/>
      <c r="N675" s="1358"/>
      <c r="O675" s="1358"/>
      <c r="P675" s="1358"/>
      <c r="Q675" s="1358"/>
      <c r="R675" s="1358"/>
      <c r="T675" s="55" t="s">
        <v>645</v>
      </c>
      <c r="U675" t="s">
        <v>462</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579</v>
      </c>
      <c r="G677" s="1371"/>
      <c r="H677" s="1371"/>
      <c r="I677" s="1371"/>
      <c r="J677" s="1371"/>
      <c r="K677" s="1371"/>
      <c r="L677" s="1371"/>
      <c r="M677" s="1371"/>
      <c r="N677" s="1371"/>
      <c r="O677" s="1371"/>
      <c r="P677" s="1371"/>
      <c r="Q677" s="1371"/>
      <c r="R677" s="1371"/>
      <c r="T677" s="22"/>
      <c r="U677" t="s">
        <v>579</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668</v>
      </c>
      <c r="O681" s="1332"/>
      <c r="T681" s="22"/>
      <c r="U681" t="s">
        <v>20</v>
      </c>
      <c r="AG681" s="1332" t="s">
        <v>668</v>
      </c>
      <c r="AH681" s="1332"/>
      <c r="AZ681" s="3"/>
    </row>
    <row r="682" spans="1:52" ht="12.95" customHeight="1">
      <c r="A682" s="22"/>
      <c r="T682" s="22"/>
      <c r="AZ682" s="3"/>
    </row>
    <row r="683" spans="1:52" ht="12.95" customHeight="1">
      <c r="A683" s="55" t="s">
        <v>362</v>
      </c>
      <c r="B683" t="s">
        <v>462</v>
      </c>
      <c r="G683" s="1358">
        <f>C637</f>
        <v>0</v>
      </c>
      <c r="H683" s="1358"/>
      <c r="I683" s="1358"/>
      <c r="J683" s="1358"/>
      <c r="K683" s="1358"/>
      <c r="L683" s="1358"/>
      <c r="M683" s="1358"/>
      <c r="N683" s="1358"/>
      <c r="O683" s="1358"/>
      <c r="P683" s="1358"/>
      <c r="Q683" s="1358"/>
      <c r="R683" s="1358"/>
      <c r="T683" s="55" t="s">
        <v>363</v>
      </c>
      <c r="U683" t="s">
        <v>462</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579</v>
      </c>
      <c r="G685" s="1371"/>
      <c r="H685" s="1371"/>
      <c r="I685" s="1371"/>
      <c r="J685" s="1371"/>
      <c r="K685" s="1371"/>
      <c r="L685" s="1371"/>
      <c r="M685" s="1371"/>
      <c r="N685" s="1371"/>
      <c r="O685" s="1371"/>
      <c r="P685" s="1371"/>
      <c r="Q685" s="1371"/>
      <c r="R685" s="1371"/>
      <c r="U685" t="s">
        <v>579</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668</v>
      </c>
      <c r="O689" s="1332"/>
      <c r="U689" t="s">
        <v>20</v>
      </c>
      <c r="AG689" s="1332" t="s">
        <v>668</v>
      </c>
      <c r="AH689" s="1332"/>
      <c r="AZ689" s="3"/>
    </row>
    <row r="690" spans="1:67" ht="12.95" customHeight="1">
      <c r="AZ690" s="3"/>
    </row>
    <row r="691" spans="1:67" ht="12.95" customHeight="1">
      <c r="A691" s="2" t="s">
        <v>575</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668</v>
      </c>
      <c r="AF693" s="1332"/>
      <c r="AZ693" s="3"/>
    </row>
    <row r="694" spans="1:67" ht="12.95" customHeight="1">
      <c r="B694" s="135"/>
      <c r="C694" s="135"/>
      <c r="D694" s="136" t="s">
        <v>437</v>
      </c>
      <c r="E694" s="135"/>
      <c r="F694" s="135"/>
      <c r="G694" s="135"/>
      <c r="H694" s="135"/>
      <c r="AE694" s="1332" t="s">
        <v>544</v>
      </c>
      <c r="AF694" s="1332"/>
      <c r="AZ694" s="3"/>
    </row>
    <row r="695" spans="1:67" ht="12.95" customHeight="1">
      <c r="B695" s="135"/>
      <c r="C695" s="135"/>
      <c r="D695" s="136" t="s">
        <v>919</v>
      </c>
      <c r="E695" s="135"/>
      <c r="F695" s="135"/>
      <c r="G695" s="135"/>
      <c r="H695" s="135"/>
      <c r="AE695" s="1690">
        <v>45919</v>
      </c>
      <c r="AF695" s="1690"/>
      <c r="AG695" s="1690"/>
      <c r="AH695" s="1690"/>
      <c r="AI695" s="1690"/>
    </row>
    <row r="696" spans="1:67" ht="12.95" customHeight="1">
      <c r="B696" s="135"/>
      <c r="C696" s="135"/>
      <c r="D696" s="317" t="s">
        <v>982</v>
      </c>
      <c r="E696" s="135"/>
      <c r="F696" s="135"/>
      <c r="G696" s="135"/>
      <c r="H696" s="135"/>
      <c r="AE696" s="1702">
        <v>45980</v>
      </c>
      <c r="AF696" s="1702"/>
      <c r="AG696" s="1702"/>
      <c r="AH696" s="1702"/>
      <c r="AI696" s="1702"/>
    </row>
    <row r="697" spans="1:67" ht="12.95" customHeight="1">
      <c r="B697" s="135"/>
      <c r="C697" s="135"/>
    </row>
    <row r="698" spans="1:67" ht="12.95" customHeight="1">
      <c r="B698" s="135"/>
      <c r="C698" s="135"/>
      <c r="D698" s="136" t="s">
        <v>815</v>
      </c>
      <c r="E698" s="135"/>
      <c r="F698" s="135"/>
      <c r="G698" s="135"/>
      <c r="H698" s="135"/>
      <c r="AE698" s="1690">
        <v>45748</v>
      </c>
      <c r="AF698" s="1690"/>
      <c r="AG698" s="1690"/>
      <c r="AH698" s="1690"/>
      <c r="AI698" s="1690"/>
    </row>
    <row r="699" spans="1:67" ht="12.95" customHeight="1">
      <c r="B699" s="135"/>
      <c r="C699" s="135"/>
      <c r="D699" s="136" t="s">
        <v>435</v>
      </c>
      <c r="E699" s="135"/>
      <c r="F699" s="135"/>
      <c r="G699" s="135"/>
      <c r="H699" s="135"/>
      <c r="AE699" s="1660">
        <v>0.25009999999999999</v>
      </c>
      <c r="AF699" s="1660"/>
      <c r="AG699" s="1660"/>
      <c r="AH699" s="1660"/>
      <c r="AI699" s="1660"/>
    </row>
    <row r="700" spans="1:67" ht="12.95" customHeight="1">
      <c r="B700" s="135"/>
      <c r="C700" s="135"/>
      <c r="D700" s="136" t="s">
        <v>436</v>
      </c>
      <c r="E700" s="135"/>
      <c r="F700" s="135"/>
      <c r="G700" s="135"/>
      <c r="H700" s="135"/>
      <c r="W700" s="1358" t="str">
        <f>H335</f>
        <v>CMFA</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544</v>
      </c>
      <c r="AF702" s="1332"/>
      <c r="AZ702" s="4" t="s">
        <v>324</v>
      </c>
    </row>
    <row r="703" spans="1:67" ht="12.95" customHeight="1">
      <c r="B703" s="135"/>
      <c r="C703" s="135"/>
      <c r="D703" s="136" t="s">
        <v>441</v>
      </c>
      <c r="E703" s="135"/>
      <c r="F703" s="135"/>
      <c r="G703" s="135"/>
      <c r="H703" s="135"/>
      <c r="W703" s="1371" t="s">
        <v>2700</v>
      </c>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t="s">
        <v>2700</v>
      </c>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694" t="s">
        <v>2701</v>
      </c>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371" t="s">
        <v>300</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2705</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285</v>
      </c>
      <c r="H714" s="1363"/>
      <c r="I714" s="1363"/>
      <c r="J714" s="1364"/>
      <c r="K714" s="1719" t="s">
        <v>1678</v>
      </c>
      <c r="L714" s="1720"/>
      <c r="M714" s="1720"/>
      <c r="N714" s="1721"/>
      <c r="O714" s="1362" t="s">
        <v>446</v>
      </c>
      <c r="P714" s="1363"/>
      <c r="Q714" s="1363"/>
      <c r="R714" s="1363"/>
      <c r="S714" s="1364"/>
      <c r="T714" s="1658" t="s">
        <v>1948</v>
      </c>
      <c r="U714" s="1363"/>
      <c r="V714" s="1363"/>
      <c r="W714" s="1364"/>
      <c r="X714" s="1658" t="s">
        <v>1950</v>
      </c>
      <c r="Y714" s="1363"/>
      <c r="Z714" s="1363"/>
      <c r="AA714" s="1363"/>
      <c r="AB714" s="1364"/>
      <c r="AC714" s="1658" t="s">
        <v>1949</v>
      </c>
      <c r="AD714" s="1363"/>
      <c r="AE714" s="1363"/>
      <c r="AF714" s="1363"/>
      <c r="AG714" s="1364"/>
      <c r="AH714" s="1658" t="s">
        <v>1951</v>
      </c>
      <c r="AI714" s="1363"/>
      <c r="AJ714" s="1364"/>
      <c r="AK714" s="1658" t="s">
        <v>1978</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468"/>
      <c r="CJ717" s="1469"/>
      <c r="CK717" s="121" t="s">
        <v>474</v>
      </c>
      <c r="CL717" s="122"/>
      <c r="CM717" s="1468"/>
      <c r="CN717" s="1469"/>
      <c r="CO717" s="3"/>
      <c r="CP717" s="1386" t="s">
        <v>632</v>
      </c>
      <c r="CQ717" s="1387"/>
      <c r="CR717" s="1387"/>
      <c r="CS717" s="1387"/>
      <c r="CT717" s="1388"/>
      <c r="CU717" s="1461" t="s">
        <v>325</v>
      </c>
      <c r="CV717" s="1461"/>
      <c r="CW717" s="1461"/>
      <c r="CX717" s="1461"/>
      <c r="CY717" s="1461"/>
      <c r="CZ717" s="1461" t="s">
        <v>163</v>
      </c>
      <c r="DA717" s="1461"/>
      <c r="DB717" s="1461"/>
      <c r="DC717" s="1461"/>
      <c r="DD717" s="1461"/>
      <c r="DE717" s="1461" t="s">
        <v>164</v>
      </c>
      <c r="DF717" s="1461"/>
      <c r="DG717" s="1461"/>
      <c r="DH717" s="1461"/>
      <c r="DI717" s="1461"/>
      <c r="DJ717" s="1461" t="s">
        <v>459</v>
      </c>
      <c r="DK717" s="1461"/>
      <c r="DL717" s="1461"/>
      <c r="DM717" s="1461"/>
      <c r="DN717" s="1461"/>
      <c r="DO717" s="1461" t="s">
        <v>30</v>
      </c>
      <c r="DP717" s="1461"/>
      <c r="DQ717" s="1461"/>
      <c r="DR717" s="1461"/>
      <c r="DS717" s="1461"/>
      <c r="DT717" s="89"/>
      <c r="DU717" s="1461" t="s">
        <v>632</v>
      </c>
      <c r="DV717" s="1461"/>
      <c r="DW717" s="1461"/>
      <c r="DX717" s="1461"/>
      <c r="DY717" s="1461"/>
      <c r="DZ717" s="1461" t="s">
        <v>325</v>
      </c>
      <c r="EA717" s="1461"/>
      <c r="EB717" s="1461"/>
      <c r="EC717" s="1461"/>
      <c r="ED717" s="1461"/>
      <c r="EE717" s="1461" t="s">
        <v>163</v>
      </c>
      <c r="EF717" s="1461"/>
      <c r="EG717" s="1461"/>
      <c r="EH717" s="1461"/>
      <c r="EI717" s="1461"/>
      <c r="EJ717" s="1461" t="s">
        <v>164</v>
      </c>
      <c r="EK717" s="1461"/>
      <c r="EL717" s="1461"/>
      <c r="EM717" s="1461"/>
      <c r="EN717" s="1461"/>
      <c r="EO717" s="1461" t="s">
        <v>459</v>
      </c>
      <c r="EP717" s="1461"/>
      <c r="EQ717" s="1461"/>
      <c r="ER717" s="1461"/>
      <c r="ES717" s="1461"/>
      <c r="ET717" s="1461" t="s">
        <v>30</v>
      </c>
      <c r="EU717" s="1461"/>
      <c r="EV717" s="1461"/>
      <c r="EW717" s="1461"/>
      <c r="EX717" s="1461"/>
      <c r="EY717" s="4"/>
      <c r="EZ717" s="1461" t="s">
        <v>632</v>
      </c>
      <c r="FA717" s="1461"/>
      <c r="FB717" s="1461"/>
      <c r="FC717" s="1461"/>
      <c r="FD717" s="1461"/>
      <c r="FE717" s="1461" t="s">
        <v>325</v>
      </c>
      <c r="FF717" s="1461"/>
      <c r="FG717" s="1461"/>
      <c r="FH717" s="1461"/>
      <c r="FI717" s="1461"/>
      <c r="FJ717" s="1461" t="s">
        <v>163</v>
      </c>
      <c r="FK717" s="1461"/>
      <c r="FL717" s="1461"/>
      <c r="FM717" s="1461"/>
      <c r="FN717" s="1461"/>
      <c r="FO717" s="1461" t="s">
        <v>164</v>
      </c>
      <c r="FP717" s="1461"/>
      <c r="FQ717" s="1461"/>
      <c r="FR717" s="1461"/>
      <c r="FS717" s="1461"/>
      <c r="FT717" s="1461" t="s">
        <v>459</v>
      </c>
      <c r="FU717" s="1461"/>
      <c r="FV717" s="1461"/>
      <c r="FW717" s="1461"/>
      <c r="FX717" s="1461"/>
      <c r="FY717" s="1461" t="s">
        <v>30</v>
      </c>
      <c r="FZ717" s="1461"/>
      <c r="GA717" s="1461"/>
      <c r="GB717" s="1461"/>
      <c r="GC717" s="1461"/>
    </row>
    <row r="718" spans="1:185" ht="12.95" customHeight="1">
      <c r="A718" s="4"/>
      <c r="B718" s="1337" t="s">
        <v>324</v>
      </c>
      <c r="C718" s="1338"/>
      <c r="D718" s="1338"/>
      <c r="E718" s="1338"/>
      <c r="F718" s="1339"/>
      <c r="G718" s="1349">
        <v>7</v>
      </c>
      <c r="H718" s="1350"/>
      <c r="I718" s="1350"/>
      <c r="J718" s="1351"/>
      <c r="K718" s="1343">
        <v>397</v>
      </c>
      <c r="L718" s="1344"/>
      <c r="M718" s="1344"/>
      <c r="N718" s="1345"/>
      <c r="O718" s="1340">
        <v>509</v>
      </c>
      <c r="P718" s="1341"/>
      <c r="Q718" s="1341"/>
      <c r="R718" s="1341"/>
      <c r="S718" s="1342"/>
      <c r="T718" s="1340">
        <v>0</v>
      </c>
      <c r="U718" s="1341"/>
      <c r="V718" s="1341"/>
      <c r="W718" s="1342"/>
      <c r="X718" s="1352">
        <f t="shared" ref="X718:X741" si="10">O718+T718</f>
        <v>509</v>
      </c>
      <c r="Y718" s="1353"/>
      <c r="Z718" s="1353"/>
      <c r="AA718" s="1353"/>
      <c r="AB718" s="1354"/>
      <c r="AC718" s="1359">
        <v>0.3</v>
      </c>
      <c r="AD718" s="1360"/>
      <c r="AE718" s="1360"/>
      <c r="AF718" s="1360"/>
      <c r="AG718" s="1361"/>
      <c r="AH718" s="1355">
        <f>IF($AC718&gt;0,($X718/$AZ718), "")</f>
        <v>0.17588113337940567</v>
      </c>
      <c r="AI718" s="1356"/>
      <c r="AJ718" s="1357"/>
      <c r="AK718" s="1337" t="s">
        <v>590</v>
      </c>
      <c r="AL718" s="1338"/>
      <c r="AM718" s="1338"/>
      <c r="AN718" s="1338"/>
      <c r="AO718" s="1339"/>
      <c r="AP718" s="3"/>
      <c r="AQ718" s="3"/>
      <c r="AR718" s="3"/>
      <c r="AS718" s="3"/>
      <c r="AZ718" s="118">
        <f t="shared" ref="AZ718:AZ752" si="11">IF($G718=0,"N/A",VLOOKUP($T$189,TC_Rent,(MATCH($B718,bedrooms,FALSE)),FALSE))</f>
        <v>2894</v>
      </c>
      <c r="BA718" s="3"/>
      <c r="BB718" s="3"/>
      <c r="BC718" s="3"/>
      <c r="BD718" s="3"/>
      <c r="BE718" s="204"/>
      <c r="BF718" s="293">
        <f t="shared" ref="BF718:BF752" si="12">G718</f>
        <v>7</v>
      </c>
      <c r="BG718" s="297">
        <f t="shared" ref="BG718:BG752" si="13">IF($BF$753=0,0,BF718/$BF$753)</f>
        <v>4.7619047619047616E-2</v>
      </c>
      <c r="BH718" s="298">
        <f t="shared" ref="BH718:BH752" si="14">IF(BG718=0,"",BG718*AC718)</f>
        <v>1.4285714285714284E-2</v>
      </c>
      <c r="BI718" s="3"/>
      <c r="BJ718" s="3"/>
      <c r="BK718" s="3"/>
      <c r="BL718" s="3"/>
      <c r="BM718" s="3"/>
      <c r="BN718" s="3"/>
      <c r="BS718" s="293">
        <f t="shared" ref="BS718:BS752" si="15">G718</f>
        <v>7</v>
      </c>
      <c r="BT718" s="297">
        <f t="shared" ref="BT718:BT752" si="16">IF($BS$753=0,0,BS718/$BS$753)</f>
        <v>4.7619047619047616E-2</v>
      </c>
      <c r="BU718" s="298">
        <f t="shared" ref="BU718:BU752" si="17">IF(BT718=0,"",BT718*AH718)</f>
        <v>8.3752920656859839E-3</v>
      </c>
      <c r="CC718" s="3"/>
      <c r="CD718" s="3"/>
      <c r="CE718" s="3"/>
      <c r="CF718" s="3"/>
      <c r="CG718" s="1462">
        <f>IF(AND(AC718&lt;=0.5,AC718&gt;=0.36),1,0)</f>
        <v>0</v>
      </c>
      <c r="CH718" s="1463"/>
      <c r="CI718" s="1468">
        <f>IF(CG718=1,G718,0)</f>
        <v>0</v>
      </c>
      <c r="CJ718" s="1469"/>
      <c r="CK718" s="1462">
        <f t="shared" ref="CK718:CK752" si="18">IF(AND(AC718&lt;=0.35,AC718&gt;0),1,0)</f>
        <v>1</v>
      </c>
      <c r="CL718" s="1463"/>
      <c r="CM718" s="1468">
        <f t="shared" ref="CM718:CM752" si="19">IF(CK718=1,G718,0)</f>
        <v>7</v>
      </c>
      <c r="CN718" s="1469"/>
      <c r="CO718" s="3"/>
      <c r="CP718" s="1457">
        <f t="shared" ref="CP718:CP752" si="20">IF(B718="SRO/Studio",G718,0)</f>
        <v>7</v>
      </c>
      <c r="CQ718" s="1458"/>
      <c r="CR718" s="1458"/>
      <c r="CS718" s="1458"/>
      <c r="CT718" s="1459"/>
      <c r="CU718" s="1442">
        <f t="shared" ref="CU718:CU752" si="21">IF(B718="1 Bedroom",G718,0)</f>
        <v>0</v>
      </c>
      <c r="CV718" s="1442"/>
      <c r="CW718" s="1442"/>
      <c r="CX718" s="1442"/>
      <c r="CY718" s="1442"/>
      <c r="CZ718" s="1442">
        <f t="shared" ref="CZ718:CZ752" si="22">IF(B718="2 Bedrooms",G718,0)</f>
        <v>0</v>
      </c>
      <c r="DA718" s="1442"/>
      <c r="DB718" s="1442"/>
      <c r="DC718" s="1442"/>
      <c r="DD718" s="1442"/>
      <c r="DE718" s="1442">
        <f t="shared" ref="DE718:DE752" si="23">IF(B718="3 Bedrooms",G718,0)</f>
        <v>0</v>
      </c>
      <c r="DF718" s="1442"/>
      <c r="DG718" s="1442"/>
      <c r="DH718" s="1442"/>
      <c r="DI718" s="1442"/>
      <c r="DJ718" s="1442">
        <f t="shared" ref="DJ718:DJ752" si="24">IF(B718="4 Bedrooms",G718,0)</f>
        <v>0</v>
      </c>
      <c r="DK718" s="1442"/>
      <c r="DL718" s="1442"/>
      <c r="DM718" s="1442"/>
      <c r="DN718" s="1442"/>
      <c r="DO718" s="1442">
        <f t="shared" ref="DO718:DO752" si="25">IF(B718="5 Bedrooms",G718,0)</f>
        <v>0</v>
      </c>
      <c r="DP718" s="1442"/>
      <c r="DQ718" s="1442"/>
      <c r="DR718" s="1442"/>
      <c r="DS718" s="1442"/>
      <c r="DT718" s="6"/>
      <c r="DU718" s="1443">
        <f t="shared" ref="DU718:DU752" si="26">IF(AND(B718="SRO/Studio",AC718&lt;=0.3),G718,0)</f>
        <v>7</v>
      </c>
      <c r="DV718" s="1443"/>
      <c r="DW718" s="1443"/>
      <c r="DX718" s="1443"/>
      <c r="DY718" s="1443"/>
      <c r="DZ718" s="1443">
        <f t="shared" ref="DZ718:DZ752" si="27">IF(AND(B718="1 Bedroom",AC718&lt;=0.3),G718,0)</f>
        <v>0</v>
      </c>
      <c r="EA718" s="1443"/>
      <c r="EB718" s="1443"/>
      <c r="EC718" s="1443"/>
      <c r="ED718" s="1443"/>
      <c r="EE718" s="1443">
        <f t="shared" ref="EE718:EE752" si="28">IF(AND(B718="2 Bedrooms",AC718&lt;=0.3),G718,0)</f>
        <v>0</v>
      </c>
      <c r="EF718" s="1443"/>
      <c r="EG718" s="1443"/>
      <c r="EH718" s="1443"/>
      <c r="EI718" s="1443"/>
      <c r="EJ718" s="1443">
        <f t="shared" ref="EJ718:EJ752" si="29">IF(AND(B718="3 Bedrooms",AC718&lt;=0.3),G718,0)</f>
        <v>0</v>
      </c>
      <c r="EK718" s="1443"/>
      <c r="EL718" s="1443"/>
      <c r="EM718" s="1443"/>
      <c r="EN718" s="1443"/>
      <c r="EO718" s="1443">
        <f t="shared" ref="EO718:EO752" si="30">IF(AND(B718="4 Bedrooms",AC718&lt;=0.3),G718,0)</f>
        <v>0</v>
      </c>
      <c r="EP718" s="1443"/>
      <c r="EQ718" s="1443"/>
      <c r="ER718" s="1443"/>
      <c r="ES718" s="1443"/>
      <c r="ET718" s="1443">
        <f t="shared" ref="ET718:ET752" si="31">IF(AND(B718="5 Bedrooms",AC718&lt;=0.3),G718,0)</f>
        <v>0</v>
      </c>
      <c r="EU718" s="1443"/>
      <c r="EV718" s="1443"/>
      <c r="EW718" s="1443"/>
      <c r="EX718" s="1443"/>
      <c r="EY718" s="4"/>
      <c r="EZ718" s="1462">
        <f t="shared" ref="EZ718:EZ752" si="32">IF(CP718&gt;0,O718,"")</f>
        <v>509</v>
      </c>
      <c r="FA718" s="1464"/>
      <c r="FB718" s="1464"/>
      <c r="FC718" s="1464"/>
      <c r="FD718" s="1463"/>
      <c r="FE718" s="1462" t="str">
        <f t="shared" ref="FE718:FE752" si="33">IF(CU718&gt;0,O718,"")</f>
        <v/>
      </c>
      <c r="FF718" s="1464"/>
      <c r="FG718" s="1464"/>
      <c r="FH718" s="1464"/>
      <c r="FI718" s="1463"/>
      <c r="FJ718" s="1462" t="str">
        <f t="shared" ref="FJ718:FJ752" si="34">IF(CZ718&gt;0,O718,"")</f>
        <v/>
      </c>
      <c r="FK718" s="1464"/>
      <c r="FL718" s="1464"/>
      <c r="FM718" s="1464"/>
      <c r="FN718" s="1463"/>
      <c r="FO718" s="1462" t="str">
        <f t="shared" ref="FO718:FO752" si="35">IF(DE718&gt;0,O718,"")</f>
        <v/>
      </c>
      <c r="FP718" s="1464"/>
      <c r="FQ718" s="1464"/>
      <c r="FR718" s="1464"/>
      <c r="FS718" s="1463"/>
      <c r="FT718" s="1462" t="str">
        <f t="shared" ref="FT718:FT752" si="36">IF(DJ718&gt;0,O718,"")</f>
        <v/>
      </c>
      <c r="FU718" s="1464"/>
      <c r="FV718" s="1464"/>
      <c r="FW718" s="1464"/>
      <c r="FX718" s="1463"/>
      <c r="FY718" s="1462" t="str">
        <f t="shared" ref="FY718:FY752" si="37">IF(DO718&gt;0,O718,"")</f>
        <v/>
      </c>
      <c r="FZ718" s="1464"/>
      <c r="GA718" s="1464"/>
      <c r="GB718" s="1464"/>
      <c r="GC718" s="1463"/>
    </row>
    <row r="719" spans="1:185" ht="12.95" customHeight="1">
      <c r="A719" s="4"/>
      <c r="B719" s="1337" t="s">
        <v>324</v>
      </c>
      <c r="C719" s="1338"/>
      <c r="D719" s="1338"/>
      <c r="E719" s="1338"/>
      <c r="F719" s="1339"/>
      <c r="G719" s="1349">
        <f>42</f>
        <v>42</v>
      </c>
      <c r="H719" s="1350"/>
      <c r="I719" s="1350"/>
      <c r="J719" s="1351"/>
      <c r="K719" s="1343">
        <v>397</v>
      </c>
      <c r="L719" s="1344"/>
      <c r="M719" s="1344"/>
      <c r="N719" s="1345"/>
      <c r="O719" s="1340">
        <v>868</v>
      </c>
      <c r="P719" s="1341"/>
      <c r="Q719" s="1341"/>
      <c r="R719" s="1341"/>
      <c r="S719" s="1342"/>
      <c r="T719" s="1340">
        <v>0</v>
      </c>
      <c r="U719" s="1341"/>
      <c r="V719" s="1341"/>
      <c r="W719" s="1342"/>
      <c r="X719" s="1352">
        <f t="shared" si="10"/>
        <v>868</v>
      </c>
      <c r="Y719" s="1353"/>
      <c r="Z719" s="1353"/>
      <c r="AA719" s="1353"/>
      <c r="AB719" s="1354"/>
      <c r="AC719" s="1359">
        <v>0.3</v>
      </c>
      <c r="AD719" s="1360"/>
      <c r="AE719" s="1360"/>
      <c r="AF719" s="1360"/>
      <c r="AG719" s="1361"/>
      <c r="AH719" s="1355">
        <f t="shared" ref="AH719:AH752" si="38">IF($AC719&gt;0,($X719/$AZ719), "")</f>
        <v>0.29993089149965446</v>
      </c>
      <c r="AI719" s="1356"/>
      <c r="AJ719" s="1357"/>
      <c r="AK719" s="1337" t="s">
        <v>590</v>
      </c>
      <c r="AL719" s="1338"/>
      <c r="AM719" s="1338"/>
      <c r="AN719" s="1338"/>
      <c r="AO719" s="1339"/>
      <c r="AP719" s="3"/>
      <c r="AQ719" s="3"/>
      <c r="AR719" s="3"/>
      <c r="AS719" s="3"/>
      <c r="AZ719" s="118">
        <f t="shared" si="11"/>
        <v>2894</v>
      </c>
      <c r="BA719" s="3"/>
      <c r="BB719" s="3"/>
      <c r="BC719" s="3"/>
      <c r="BD719" s="3"/>
      <c r="BE719" s="204"/>
      <c r="BF719" s="294">
        <f t="shared" si="12"/>
        <v>42</v>
      </c>
      <c r="BG719" s="297">
        <f t="shared" si="13"/>
        <v>0.2857142857142857</v>
      </c>
      <c r="BH719" s="298">
        <f t="shared" si="14"/>
        <v>8.5714285714285701E-2</v>
      </c>
      <c r="BI719" s="3"/>
      <c r="BJ719" s="3"/>
      <c r="BK719" s="3"/>
      <c r="BL719" s="3"/>
      <c r="BM719" s="3"/>
      <c r="BN719" s="3"/>
      <c r="BS719" s="294">
        <f t="shared" si="15"/>
        <v>42</v>
      </c>
      <c r="BT719" s="297">
        <f t="shared" si="16"/>
        <v>0.2857142857142857</v>
      </c>
      <c r="BU719" s="298">
        <f t="shared" si="17"/>
        <v>8.5694540428472701E-2</v>
      </c>
      <c r="CC719" s="3"/>
      <c r="CD719" s="3"/>
      <c r="CE719" s="3"/>
      <c r="CF719" s="3"/>
      <c r="CG719" s="1462">
        <f t="shared" ref="CG719:CG752" si="39">IF(AND(AC719&lt;=0.5,AC719&gt;=0.36),1,0)</f>
        <v>0</v>
      </c>
      <c r="CH719" s="1463"/>
      <c r="CI719" s="1468">
        <f t="shared" ref="CI719:CI752" si="40">IF(CG719=1,G719,0)</f>
        <v>0</v>
      </c>
      <c r="CJ719" s="1469"/>
      <c r="CK719" s="1462">
        <f t="shared" si="18"/>
        <v>1</v>
      </c>
      <c r="CL719" s="1463"/>
      <c r="CM719" s="1468">
        <f t="shared" si="19"/>
        <v>42</v>
      </c>
      <c r="CN719" s="1469"/>
      <c r="CO719" s="3"/>
      <c r="CP719" s="1457">
        <f t="shared" si="20"/>
        <v>42</v>
      </c>
      <c r="CQ719" s="1458"/>
      <c r="CR719" s="1458"/>
      <c r="CS719" s="1458"/>
      <c r="CT719" s="1459"/>
      <c r="CU719" s="1442">
        <f t="shared" si="21"/>
        <v>0</v>
      </c>
      <c r="CV719" s="1442"/>
      <c r="CW719" s="1442"/>
      <c r="CX719" s="1442"/>
      <c r="CY719" s="1442"/>
      <c r="CZ719" s="1442">
        <f t="shared" si="22"/>
        <v>0</v>
      </c>
      <c r="DA719" s="1442"/>
      <c r="DB719" s="1442"/>
      <c r="DC719" s="1442"/>
      <c r="DD719" s="1442"/>
      <c r="DE719" s="1442">
        <f t="shared" si="23"/>
        <v>0</v>
      </c>
      <c r="DF719" s="1442"/>
      <c r="DG719" s="1442"/>
      <c r="DH719" s="1442"/>
      <c r="DI719" s="1442"/>
      <c r="DJ719" s="1442">
        <f t="shared" si="24"/>
        <v>0</v>
      </c>
      <c r="DK719" s="1442"/>
      <c r="DL719" s="1442"/>
      <c r="DM719" s="1442"/>
      <c r="DN719" s="1442"/>
      <c r="DO719" s="1442">
        <f t="shared" si="25"/>
        <v>0</v>
      </c>
      <c r="DP719" s="1442"/>
      <c r="DQ719" s="1442"/>
      <c r="DR719" s="1442"/>
      <c r="DS719" s="1442"/>
      <c r="DT719" s="6"/>
      <c r="DU719" s="1443">
        <f t="shared" si="26"/>
        <v>42</v>
      </c>
      <c r="DV719" s="1443"/>
      <c r="DW719" s="1443"/>
      <c r="DX719" s="1443"/>
      <c r="DY719" s="1443"/>
      <c r="DZ719" s="1443">
        <f t="shared" si="27"/>
        <v>0</v>
      </c>
      <c r="EA719" s="1443"/>
      <c r="EB719" s="1443"/>
      <c r="EC719" s="1443"/>
      <c r="ED719" s="1443"/>
      <c r="EE719" s="1443">
        <f t="shared" si="28"/>
        <v>0</v>
      </c>
      <c r="EF719" s="1443"/>
      <c r="EG719" s="1443"/>
      <c r="EH719" s="1443"/>
      <c r="EI719" s="1443"/>
      <c r="EJ719" s="1443">
        <f t="shared" si="29"/>
        <v>0</v>
      </c>
      <c r="EK719" s="1443"/>
      <c r="EL719" s="1443"/>
      <c r="EM719" s="1443"/>
      <c r="EN719" s="1443"/>
      <c r="EO719" s="1443">
        <f t="shared" si="30"/>
        <v>0</v>
      </c>
      <c r="EP719" s="1443"/>
      <c r="EQ719" s="1443"/>
      <c r="ER719" s="1443"/>
      <c r="ES719" s="1443"/>
      <c r="ET719" s="1443">
        <f t="shared" si="31"/>
        <v>0</v>
      </c>
      <c r="EU719" s="1443"/>
      <c r="EV719" s="1443"/>
      <c r="EW719" s="1443"/>
      <c r="EX719" s="1443"/>
      <c r="EY719" s="4"/>
      <c r="EZ719" s="1462">
        <f t="shared" si="32"/>
        <v>868</v>
      </c>
      <c r="FA719" s="1464"/>
      <c r="FB719" s="1464"/>
      <c r="FC719" s="1464"/>
      <c r="FD719" s="1463"/>
      <c r="FE719" s="1462" t="str">
        <f t="shared" si="33"/>
        <v/>
      </c>
      <c r="FF719" s="1464"/>
      <c r="FG719" s="1464"/>
      <c r="FH719" s="1464"/>
      <c r="FI719" s="1463"/>
      <c r="FJ719" s="1462" t="str">
        <f t="shared" si="34"/>
        <v/>
      </c>
      <c r="FK719" s="1464"/>
      <c r="FL719" s="1464"/>
      <c r="FM719" s="1464"/>
      <c r="FN719" s="1463"/>
      <c r="FO719" s="1462" t="str">
        <f t="shared" si="35"/>
        <v/>
      </c>
      <c r="FP719" s="1464"/>
      <c r="FQ719" s="1464"/>
      <c r="FR719" s="1464"/>
      <c r="FS719" s="1463"/>
      <c r="FT719" s="1462" t="str">
        <f t="shared" si="36"/>
        <v/>
      </c>
      <c r="FU719" s="1464"/>
      <c r="FV719" s="1464"/>
      <c r="FW719" s="1464"/>
      <c r="FX719" s="1463"/>
      <c r="FY719" s="1462" t="str">
        <f t="shared" si="37"/>
        <v/>
      </c>
      <c r="FZ719" s="1464"/>
      <c r="GA719" s="1464"/>
      <c r="GB719" s="1464"/>
      <c r="GC719" s="1463"/>
    </row>
    <row r="720" spans="1:185" ht="12.95" customHeight="1">
      <c r="A720" s="4"/>
      <c r="B720" s="1337" t="s">
        <v>324</v>
      </c>
      <c r="C720" s="1338"/>
      <c r="D720" s="1338"/>
      <c r="E720" s="1338"/>
      <c r="F720" s="1339"/>
      <c r="G720" s="1349">
        <f>99-G719-G718</f>
        <v>50</v>
      </c>
      <c r="H720" s="1350"/>
      <c r="I720" s="1350"/>
      <c r="J720" s="1351"/>
      <c r="K720" s="1343">
        <v>397</v>
      </c>
      <c r="L720" s="1344"/>
      <c r="M720" s="1344"/>
      <c r="N720" s="1345"/>
      <c r="O720" s="1340">
        <v>1591</v>
      </c>
      <c r="P720" s="1341"/>
      <c r="Q720" s="1341"/>
      <c r="R720" s="1341"/>
      <c r="S720" s="1342"/>
      <c r="T720" s="1340">
        <v>0</v>
      </c>
      <c r="U720" s="1341"/>
      <c r="V720" s="1341"/>
      <c r="W720" s="1342"/>
      <c r="X720" s="1352">
        <f t="shared" si="10"/>
        <v>1591</v>
      </c>
      <c r="Y720" s="1353"/>
      <c r="Z720" s="1353"/>
      <c r="AA720" s="1353"/>
      <c r="AB720" s="1354"/>
      <c r="AC720" s="1359">
        <v>0.6</v>
      </c>
      <c r="AD720" s="1360"/>
      <c r="AE720" s="1360"/>
      <c r="AF720" s="1360"/>
      <c r="AG720" s="1361"/>
      <c r="AH720" s="1355">
        <f t="shared" si="38"/>
        <v>0.54975812024879056</v>
      </c>
      <c r="AI720" s="1356"/>
      <c r="AJ720" s="1357"/>
      <c r="AK720" s="1337" t="s">
        <v>590</v>
      </c>
      <c r="AL720" s="1338"/>
      <c r="AM720" s="1338"/>
      <c r="AN720" s="1338"/>
      <c r="AO720" s="1339"/>
      <c r="AP720" s="3"/>
      <c r="AQ720" s="3"/>
      <c r="AR720" s="3"/>
      <c r="AS720" s="3"/>
      <c r="AZ720" s="118">
        <f t="shared" si="11"/>
        <v>2894</v>
      </c>
      <c r="BA720" s="3"/>
      <c r="BB720" s="3"/>
      <c r="BC720" s="3"/>
      <c r="BD720" s="3"/>
      <c r="BE720" s="204"/>
      <c r="BF720" s="294">
        <f t="shared" si="12"/>
        <v>50</v>
      </c>
      <c r="BG720" s="297">
        <f t="shared" si="13"/>
        <v>0.3401360544217687</v>
      </c>
      <c r="BH720" s="298">
        <f t="shared" si="14"/>
        <v>0.2040816326530612</v>
      </c>
      <c r="BI720" s="3"/>
      <c r="BJ720" s="3"/>
      <c r="BK720" s="3"/>
      <c r="BL720" s="3"/>
      <c r="BM720" s="3"/>
      <c r="BN720" s="3"/>
      <c r="BS720" s="294">
        <f t="shared" si="15"/>
        <v>50</v>
      </c>
      <c r="BT720" s="297">
        <f t="shared" si="16"/>
        <v>0.3401360544217687</v>
      </c>
      <c r="BU720" s="298">
        <f t="shared" si="17"/>
        <v>0.18699255790775188</v>
      </c>
      <c r="CC720" s="3"/>
      <c r="CD720" s="3"/>
      <c r="CE720" s="3"/>
      <c r="CF720" s="3"/>
      <c r="CG720" s="1462">
        <f t="shared" si="39"/>
        <v>0</v>
      </c>
      <c r="CH720" s="1463"/>
      <c r="CI720" s="1468">
        <f t="shared" si="40"/>
        <v>0</v>
      </c>
      <c r="CJ720" s="1469"/>
      <c r="CK720" s="1462">
        <f t="shared" si="18"/>
        <v>0</v>
      </c>
      <c r="CL720" s="1463"/>
      <c r="CM720" s="1468">
        <f t="shared" si="19"/>
        <v>0</v>
      </c>
      <c r="CN720" s="1469"/>
      <c r="CO720" s="3"/>
      <c r="CP720" s="1457">
        <f t="shared" si="20"/>
        <v>50</v>
      </c>
      <c r="CQ720" s="1458"/>
      <c r="CR720" s="1458"/>
      <c r="CS720" s="1458"/>
      <c r="CT720" s="1459"/>
      <c r="CU720" s="1442">
        <f t="shared" si="21"/>
        <v>0</v>
      </c>
      <c r="CV720" s="1442"/>
      <c r="CW720" s="1442"/>
      <c r="CX720" s="1442"/>
      <c r="CY720" s="1442"/>
      <c r="CZ720" s="1442">
        <f t="shared" si="22"/>
        <v>0</v>
      </c>
      <c r="DA720" s="1442"/>
      <c r="DB720" s="1442"/>
      <c r="DC720" s="1442"/>
      <c r="DD720" s="1442"/>
      <c r="DE720" s="1442">
        <f t="shared" si="23"/>
        <v>0</v>
      </c>
      <c r="DF720" s="1442"/>
      <c r="DG720" s="1442"/>
      <c r="DH720" s="1442"/>
      <c r="DI720" s="1442"/>
      <c r="DJ720" s="1442">
        <f t="shared" si="24"/>
        <v>0</v>
      </c>
      <c r="DK720" s="1442"/>
      <c r="DL720" s="1442"/>
      <c r="DM720" s="1442"/>
      <c r="DN720" s="1442"/>
      <c r="DO720" s="1442">
        <f t="shared" si="25"/>
        <v>0</v>
      </c>
      <c r="DP720" s="1442"/>
      <c r="DQ720" s="1442"/>
      <c r="DR720" s="1442"/>
      <c r="DS720" s="1442"/>
      <c r="DT720" s="6"/>
      <c r="DU720" s="1443">
        <f t="shared" si="26"/>
        <v>0</v>
      </c>
      <c r="DV720" s="1443"/>
      <c r="DW720" s="1443"/>
      <c r="DX720" s="1443"/>
      <c r="DY720" s="1443"/>
      <c r="DZ720" s="1443">
        <f t="shared" si="27"/>
        <v>0</v>
      </c>
      <c r="EA720" s="1443"/>
      <c r="EB720" s="1443"/>
      <c r="EC720" s="1443"/>
      <c r="ED720" s="1443"/>
      <c r="EE720" s="1443">
        <f t="shared" si="28"/>
        <v>0</v>
      </c>
      <c r="EF720" s="1443"/>
      <c r="EG720" s="1443"/>
      <c r="EH720" s="1443"/>
      <c r="EI720" s="1443"/>
      <c r="EJ720" s="1443">
        <f t="shared" si="29"/>
        <v>0</v>
      </c>
      <c r="EK720" s="1443"/>
      <c r="EL720" s="1443"/>
      <c r="EM720" s="1443"/>
      <c r="EN720" s="1443"/>
      <c r="EO720" s="1443">
        <f t="shared" si="30"/>
        <v>0</v>
      </c>
      <c r="EP720" s="1443"/>
      <c r="EQ720" s="1443"/>
      <c r="ER720" s="1443"/>
      <c r="ES720" s="1443"/>
      <c r="ET720" s="1443">
        <f t="shared" si="31"/>
        <v>0</v>
      </c>
      <c r="EU720" s="1443"/>
      <c r="EV720" s="1443"/>
      <c r="EW720" s="1443"/>
      <c r="EX720" s="1443"/>
      <c r="EZ720" s="1462">
        <f t="shared" si="32"/>
        <v>1591</v>
      </c>
      <c r="FA720" s="1464"/>
      <c r="FB720" s="1464"/>
      <c r="FC720" s="1464"/>
      <c r="FD720" s="1463"/>
      <c r="FE720" s="1462" t="str">
        <f t="shared" si="33"/>
        <v/>
      </c>
      <c r="FF720" s="1464"/>
      <c r="FG720" s="1464"/>
      <c r="FH720" s="1464"/>
      <c r="FI720" s="1463"/>
      <c r="FJ720" s="1462" t="str">
        <f t="shared" si="34"/>
        <v/>
      </c>
      <c r="FK720" s="1464"/>
      <c r="FL720" s="1464"/>
      <c r="FM720" s="1464"/>
      <c r="FN720" s="1463"/>
      <c r="FO720" s="1462" t="str">
        <f t="shared" si="35"/>
        <v/>
      </c>
      <c r="FP720" s="1464"/>
      <c r="FQ720" s="1464"/>
      <c r="FR720" s="1464"/>
      <c r="FS720" s="1463"/>
      <c r="FT720" s="1462" t="str">
        <f t="shared" si="36"/>
        <v/>
      </c>
      <c r="FU720" s="1464"/>
      <c r="FV720" s="1464"/>
      <c r="FW720" s="1464"/>
      <c r="FX720" s="1463"/>
      <c r="FY720" s="1462" t="str">
        <f t="shared" si="37"/>
        <v/>
      </c>
      <c r="FZ720" s="1464"/>
      <c r="GA720" s="1464"/>
      <c r="GB720" s="1464"/>
      <c r="GC720" s="1463"/>
    </row>
    <row r="721" spans="1:185" ht="12.95" customHeight="1">
      <c r="B721" s="1337" t="s">
        <v>325</v>
      </c>
      <c r="C721" s="1338"/>
      <c r="D721" s="1338"/>
      <c r="E721" s="1338"/>
      <c r="F721" s="1339"/>
      <c r="G721" s="1349">
        <f>18</f>
        <v>18</v>
      </c>
      <c r="H721" s="1350"/>
      <c r="I721" s="1350"/>
      <c r="J721" s="1351"/>
      <c r="K721" s="1343">
        <v>507</v>
      </c>
      <c r="L721" s="1344"/>
      <c r="M721" s="1344"/>
      <c r="N721" s="1345"/>
      <c r="O721" s="1340">
        <v>670</v>
      </c>
      <c r="P721" s="1341"/>
      <c r="Q721" s="1341"/>
      <c r="R721" s="1341"/>
      <c r="S721" s="1342"/>
      <c r="T721" s="1340">
        <v>0</v>
      </c>
      <c r="U721" s="1341"/>
      <c r="V721" s="1341"/>
      <c r="W721" s="1342"/>
      <c r="X721" s="1352">
        <f t="shared" si="10"/>
        <v>670</v>
      </c>
      <c r="Y721" s="1353"/>
      <c r="Z721" s="1353"/>
      <c r="AA721" s="1353"/>
      <c r="AB721" s="1354"/>
      <c r="AC721" s="1359">
        <v>0.3</v>
      </c>
      <c r="AD721" s="1360"/>
      <c r="AE721" s="1360"/>
      <c r="AF721" s="1360"/>
      <c r="AG721" s="1361"/>
      <c r="AH721" s="1355">
        <f t="shared" si="38"/>
        <v>0.21612903225806451</v>
      </c>
      <c r="AI721" s="1356"/>
      <c r="AJ721" s="1357"/>
      <c r="AK721" s="1337" t="s">
        <v>590</v>
      </c>
      <c r="AL721" s="1338"/>
      <c r="AM721" s="1338"/>
      <c r="AN721" s="1338"/>
      <c r="AO721" s="1339"/>
      <c r="AP721" s="3"/>
      <c r="AQ721" s="3"/>
      <c r="AR721" s="3"/>
      <c r="AS721" s="3"/>
      <c r="AY721" s="116"/>
      <c r="AZ721" s="118">
        <f t="shared" si="11"/>
        <v>3100</v>
      </c>
      <c r="BA721" s="3"/>
      <c r="BB721" s="3"/>
      <c r="BC721" s="3"/>
      <c r="BD721" s="3"/>
      <c r="BE721" s="204"/>
      <c r="BF721" s="294">
        <f t="shared" si="12"/>
        <v>18</v>
      </c>
      <c r="BG721" s="297">
        <f t="shared" si="13"/>
        <v>0.12244897959183673</v>
      </c>
      <c r="BH721" s="298">
        <f t="shared" si="14"/>
        <v>3.6734693877551017E-2</v>
      </c>
      <c r="BI721" s="3"/>
      <c r="BJ721" s="3"/>
      <c r="BK721" s="3"/>
      <c r="BL721" s="3"/>
      <c r="BM721" s="3"/>
      <c r="BN721" s="3"/>
      <c r="BS721" s="294">
        <f t="shared" si="15"/>
        <v>18</v>
      </c>
      <c r="BT721" s="297">
        <f t="shared" si="16"/>
        <v>0.12244897959183673</v>
      </c>
      <c r="BU721" s="298">
        <f t="shared" si="17"/>
        <v>2.6464779460171166E-2</v>
      </c>
      <c r="CC721" s="3"/>
      <c r="CD721" s="3"/>
      <c r="CE721" s="3"/>
      <c r="CF721" s="3"/>
      <c r="CG721" s="1462">
        <f t="shared" si="39"/>
        <v>0</v>
      </c>
      <c r="CH721" s="1463"/>
      <c r="CI721" s="1468">
        <f t="shared" si="40"/>
        <v>0</v>
      </c>
      <c r="CJ721" s="1469"/>
      <c r="CK721" s="1462">
        <f t="shared" si="18"/>
        <v>1</v>
      </c>
      <c r="CL721" s="1463"/>
      <c r="CM721" s="1468">
        <f t="shared" si="19"/>
        <v>18</v>
      </c>
      <c r="CN721" s="1469"/>
      <c r="CO721" s="3"/>
      <c r="CP721" s="1457">
        <f t="shared" si="20"/>
        <v>0</v>
      </c>
      <c r="CQ721" s="1458"/>
      <c r="CR721" s="1458"/>
      <c r="CS721" s="1458"/>
      <c r="CT721" s="1459"/>
      <c r="CU721" s="1442">
        <f t="shared" si="21"/>
        <v>18</v>
      </c>
      <c r="CV721" s="1442"/>
      <c r="CW721" s="1442"/>
      <c r="CX721" s="1442"/>
      <c r="CY721" s="1442"/>
      <c r="CZ721" s="1442">
        <f t="shared" si="22"/>
        <v>0</v>
      </c>
      <c r="DA721" s="1442"/>
      <c r="DB721" s="1442"/>
      <c r="DC721" s="1442"/>
      <c r="DD721" s="1442"/>
      <c r="DE721" s="1442">
        <f t="shared" si="23"/>
        <v>0</v>
      </c>
      <c r="DF721" s="1442"/>
      <c r="DG721" s="1442"/>
      <c r="DH721" s="1442"/>
      <c r="DI721" s="1442"/>
      <c r="DJ721" s="1442">
        <f t="shared" si="24"/>
        <v>0</v>
      </c>
      <c r="DK721" s="1442"/>
      <c r="DL721" s="1442"/>
      <c r="DM721" s="1442"/>
      <c r="DN721" s="1442"/>
      <c r="DO721" s="1442">
        <f t="shared" si="25"/>
        <v>0</v>
      </c>
      <c r="DP721" s="1442"/>
      <c r="DQ721" s="1442"/>
      <c r="DR721" s="1442"/>
      <c r="DS721" s="1442"/>
      <c r="DT721" s="6"/>
      <c r="DU721" s="1443">
        <f t="shared" si="26"/>
        <v>0</v>
      </c>
      <c r="DV721" s="1443"/>
      <c r="DW721" s="1443"/>
      <c r="DX721" s="1443"/>
      <c r="DY721" s="1443"/>
      <c r="DZ721" s="1443">
        <f t="shared" si="27"/>
        <v>18</v>
      </c>
      <c r="EA721" s="1443"/>
      <c r="EB721" s="1443"/>
      <c r="EC721" s="1443"/>
      <c r="ED721" s="1443"/>
      <c r="EE721" s="1443">
        <f t="shared" si="28"/>
        <v>0</v>
      </c>
      <c r="EF721" s="1443"/>
      <c r="EG721" s="1443"/>
      <c r="EH721" s="1443"/>
      <c r="EI721" s="1443"/>
      <c r="EJ721" s="1443">
        <f t="shared" si="29"/>
        <v>0</v>
      </c>
      <c r="EK721" s="1443"/>
      <c r="EL721" s="1443"/>
      <c r="EM721" s="1443"/>
      <c r="EN721" s="1443"/>
      <c r="EO721" s="1443">
        <f t="shared" si="30"/>
        <v>0</v>
      </c>
      <c r="EP721" s="1443"/>
      <c r="EQ721" s="1443"/>
      <c r="ER721" s="1443"/>
      <c r="ES721" s="1443"/>
      <c r="ET721" s="1443">
        <f t="shared" si="31"/>
        <v>0</v>
      </c>
      <c r="EU721" s="1443"/>
      <c r="EV721" s="1443"/>
      <c r="EW721" s="1443"/>
      <c r="EX721" s="1443"/>
      <c r="EZ721" s="1462" t="str">
        <f t="shared" si="32"/>
        <v/>
      </c>
      <c r="FA721" s="1464"/>
      <c r="FB721" s="1464"/>
      <c r="FC721" s="1464"/>
      <c r="FD721" s="1463"/>
      <c r="FE721" s="1462">
        <f t="shared" si="33"/>
        <v>670</v>
      </c>
      <c r="FF721" s="1464"/>
      <c r="FG721" s="1464"/>
      <c r="FH721" s="1464"/>
      <c r="FI721" s="1463"/>
      <c r="FJ721" s="1462" t="str">
        <f t="shared" si="34"/>
        <v/>
      </c>
      <c r="FK721" s="1464"/>
      <c r="FL721" s="1464"/>
      <c r="FM721" s="1464"/>
      <c r="FN721" s="1463"/>
      <c r="FO721" s="1462" t="str">
        <f t="shared" si="35"/>
        <v/>
      </c>
      <c r="FP721" s="1464"/>
      <c r="FQ721" s="1464"/>
      <c r="FR721" s="1464"/>
      <c r="FS721" s="1463"/>
      <c r="FT721" s="1462" t="str">
        <f t="shared" si="36"/>
        <v/>
      </c>
      <c r="FU721" s="1464"/>
      <c r="FV721" s="1464"/>
      <c r="FW721" s="1464"/>
      <c r="FX721" s="1463"/>
      <c r="FY721" s="1462" t="str">
        <f t="shared" si="37"/>
        <v/>
      </c>
      <c r="FZ721" s="1464"/>
      <c r="GA721" s="1464"/>
      <c r="GB721" s="1464"/>
      <c r="GC721" s="1463"/>
    </row>
    <row r="722" spans="1:185" ht="12.95" customHeight="1">
      <c r="B722" s="1337" t="s">
        <v>325</v>
      </c>
      <c r="C722" s="1338"/>
      <c r="D722" s="1338"/>
      <c r="E722" s="1338"/>
      <c r="F722" s="1339"/>
      <c r="G722" s="1349">
        <v>6</v>
      </c>
      <c r="H722" s="1350"/>
      <c r="I722" s="1350"/>
      <c r="J722" s="1351"/>
      <c r="K722" s="1343">
        <v>507</v>
      </c>
      <c r="L722" s="1344"/>
      <c r="M722" s="1344"/>
      <c r="N722" s="1345"/>
      <c r="O722" s="1340">
        <v>930</v>
      </c>
      <c r="P722" s="1341"/>
      <c r="Q722" s="1341"/>
      <c r="R722" s="1341"/>
      <c r="S722" s="1342"/>
      <c r="T722" s="1340">
        <v>0</v>
      </c>
      <c r="U722" s="1341"/>
      <c r="V722" s="1341"/>
      <c r="W722" s="1342"/>
      <c r="X722" s="1352">
        <f t="shared" si="10"/>
        <v>930</v>
      </c>
      <c r="Y722" s="1353"/>
      <c r="Z722" s="1353"/>
      <c r="AA722" s="1353"/>
      <c r="AB722" s="1354"/>
      <c r="AC722" s="1359">
        <v>0.3</v>
      </c>
      <c r="AD722" s="1360"/>
      <c r="AE722" s="1360"/>
      <c r="AF722" s="1360"/>
      <c r="AG722" s="1361"/>
      <c r="AH722" s="1355">
        <f t="shared" si="38"/>
        <v>0.3</v>
      </c>
      <c r="AI722" s="1356"/>
      <c r="AJ722" s="1357"/>
      <c r="AK722" s="1337" t="s">
        <v>590</v>
      </c>
      <c r="AL722" s="1338"/>
      <c r="AM722" s="1338"/>
      <c r="AN722" s="1338"/>
      <c r="AO722" s="1339"/>
      <c r="AP722" s="3"/>
      <c r="AQ722" s="3"/>
      <c r="AR722" s="3"/>
      <c r="AS722" s="3"/>
      <c r="AY722" s="116"/>
      <c r="AZ722" s="118">
        <f t="shared" si="11"/>
        <v>3100</v>
      </c>
      <c r="BA722" s="3"/>
      <c r="BB722" s="3"/>
      <c r="BC722" s="3"/>
      <c r="BD722" s="3"/>
      <c r="BE722" s="204"/>
      <c r="BF722" s="294">
        <f t="shared" si="12"/>
        <v>6</v>
      </c>
      <c r="BG722" s="297">
        <f t="shared" si="13"/>
        <v>4.0816326530612242E-2</v>
      </c>
      <c r="BH722" s="298">
        <f t="shared" si="14"/>
        <v>1.2244897959183673E-2</v>
      </c>
      <c r="BI722" s="3"/>
      <c r="BJ722" s="3"/>
      <c r="BK722" s="3"/>
      <c r="BL722" s="3"/>
      <c r="BM722" s="3"/>
      <c r="BN722" s="3"/>
      <c r="BS722" s="294">
        <f t="shared" si="15"/>
        <v>6</v>
      </c>
      <c r="BT722" s="297">
        <f t="shared" si="16"/>
        <v>4.0816326530612242E-2</v>
      </c>
      <c r="BU722" s="298">
        <f t="shared" si="17"/>
        <v>1.2244897959183673E-2</v>
      </c>
      <c r="CC722" s="3"/>
      <c r="CD722" s="3"/>
      <c r="CE722" s="3"/>
      <c r="CF722" s="3"/>
      <c r="CG722" s="1462">
        <f t="shared" si="39"/>
        <v>0</v>
      </c>
      <c r="CH722" s="1463"/>
      <c r="CI722" s="1468">
        <f t="shared" si="40"/>
        <v>0</v>
      </c>
      <c r="CJ722" s="1469"/>
      <c r="CK722" s="1462">
        <f t="shared" si="18"/>
        <v>1</v>
      </c>
      <c r="CL722" s="1463"/>
      <c r="CM722" s="1468">
        <f t="shared" si="19"/>
        <v>6</v>
      </c>
      <c r="CN722" s="1469"/>
      <c r="CO722" s="3"/>
      <c r="CP722" s="1457">
        <f t="shared" si="20"/>
        <v>0</v>
      </c>
      <c r="CQ722" s="1458"/>
      <c r="CR722" s="1458"/>
      <c r="CS722" s="1458"/>
      <c r="CT722" s="1459"/>
      <c r="CU722" s="1442">
        <f t="shared" si="21"/>
        <v>6</v>
      </c>
      <c r="CV722" s="1442"/>
      <c r="CW722" s="1442"/>
      <c r="CX722" s="1442"/>
      <c r="CY722" s="1442"/>
      <c r="CZ722" s="1442">
        <f t="shared" si="22"/>
        <v>0</v>
      </c>
      <c r="DA722" s="1442"/>
      <c r="DB722" s="1442"/>
      <c r="DC722" s="1442"/>
      <c r="DD722" s="1442"/>
      <c r="DE722" s="1442">
        <f t="shared" si="23"/>
        <v>0</v>
      </c>
      <c r="DF722" s="1442"/>
      <c r="DG722" s="1442"/>
      <c r="DH722" s="1442"/>
      <c r="DI722" s="1442"/>
      <c r="DJ722" s="1442">
        <f t="shared" si="24"/>
        <v>0</v>
      </c>
      <c r="DK722" s="1442"/>
      <c r="DL722" s="1442"/>
      <c r="DM722" s="1442"/>
      <c r="DN722" s="1442"/>
      <c r="DO722" s="1442">
        <f t="shared" si="25"/>
        <v>0</v>
      </c>
      <c r="DP722" s="1442"/>
      <c r="DQ722" s="1442"/>
      <c r="DR722" s="1442"/>
      <c r="DS722" s="1442"/>
      <c r="DT722" s="6"/>
      <c r="DU722" s="1443">
        <f t="shared" si="26"/>
        <v>0</v>
      </c>
      <c r="DV722" s="1443"/>
      <c r="DW722" s="1443"/>
      <c r="DX722" s="1443"/>
      <c r="DY722" s="1443"/>
      <c r="DZ722" s="1443">
        <f t="shared" si="27"/>
        <v>6</v>
      </c>
      <c r="EA722" s="1443"/>
      <c r="EB722" s="1443"/>
      <c r="EC722" s="1443"/>
      <c r="ED722" s="1443"/>
      <c r="EE722" s="1443">
        <f t="shared" si="28"/>
        <v>0</v>
      </c>
      <c r="EF722" s="1443"/>
      <c r="EG722" s="1443"/>
      <c r="EH722" s="1443"/>
      <c r="EI722" s="1443"/>
      <c r="EJ722" s="1443">
        <f t="shared" si="29"/>
        <v>0</v>
      </c>
      <c r="EK722" s="1443"/>
      <c r="EL722" s="1443"/>
      <c r="EM722" s="1443"/>
      <c r="EN722" s="1443"/>
      <c r="EO722" s="1443">
        <f t="shared" si="30"/>
        <v>0</v>
      </c>
      <c r="EP722" s="1443"/>
      <c r="EQ722" s="1443"/>
      <c r="ER722" s="1443"/>
      <c r="ES722" s="1443"/>
      <c r="ET722" s="1443">
        <f t="shared" si="31"/>
        <v>0</v>
      </c>
      <c r="EU722" s="1443"/>
      <c r="EV722" s="1443"/>
      <c r="EW722" s="1443"/>
      <c r="EX722" s="1443"/>
      <c r="EZ722" s="1462" t="str">
        <f t="shared" si="32"/>
        <v/>
      </c>
      <c r="FA722" s="1464"/>
      <c r="FB722" s="1464"/>
      <c r="FC722" s="1464"/>
      <c r="FD722" s="1463"/>
      <c r="FE722" s="1462">
        <f t="shared" si="33"/>
        <v>930</v>
      </c>
      <c r="FF722" s="1464"/>
      <c r="FG722" s="1464"/>
      <c r="FH722" s="1464"/>
      <c r="FI722" s="1463"/>
      <c r="FJ722" s="1462" t="str">
        <f t="shared" si="34"/>
        <v/>
      </c>
      <c r="FK722" s="1464"/>
      <c r="FL722" s="1464"/>
      <c r="FM722" s="1464"/>
      <c r="FN722" s="1463"/>
      <c r="FO722" s="1462" t="str">
        <f t="shared" si="35"/>
        <v/>
      </c>
      <c r="FP722" s="1464"/>
      <c r="FQ722" s="1464"/>
      <c r="FR722" s="1464"/>
      <c r="FS722" s="1463"/>
      <c r="FT722" s="1462" t="str">
        <f t="shared" si="36"/>
        <v/>
      </c>
      <c r="FU722" s="1464"/>
      <c r="FV722" s="1464"/>
      <c r="FW722" s="1464"/>
      <c r="FX722" s="1463"/>
      <c r="FY722" s="1462" t="str">
        <f t="shared" si="37"/>
        <v/>
      </c>
      <c r="FZ722" s="1464"/>
      <c r="GA722" s="1464"/>
      <c r="GB722" s="1464"/>
      <c r="GC722" s="1463"/>
    </row>
    <row r="723" spans="1:185" ht="12.95" customHeight="1">
      <c r="B723" s="1337" t="s">
        <v>325</v>
      </c>
      <c r="C723" s="1338"/>
      <c r="D723" s="1338"/>
      <c r="E723" s="1338"/>
      <c r="F723" s="1339"/>
      <c r="G723" s="1349">
        <v>24</v>
      </c>
      <c r="H723" s="1350"/>
      <c r="I723" s="1350"/>
      <c r="J723" s="1351"/>
      <c r="K723" s="1343">
        <v>507</v>
      </c>
      <c r="L723" s="1344"/>
      <c r="M723" s="1344"/>
      <c r="N723" s="1345"/>
      <c r="O723" s="1340">
        <v>1704</v>
      </c>
      <c r="P723" s="1341"/>
      <c r="Q723" s="1341"/>
      <c r="R723" s="1341"/>
      <c r="S723" s="1342"/>
      <c r="T723" s="1340">
        <v>0</v>
      </c>
      <c r="U723" s="1341"/>
      <c r="V723" s="1341"/>
      <c r="W723" s="1342"/>
      <c r="X723" s="1352">
        <f t="shared" si="10"/>
        <v>1704</v>
      </c>
      <c r="Y723" s="1353"/>
      <c r="Z723" s="1353"/>
      <c r="AA723" s="1353"/>
      <c r="AB723" s="1354"/>
      <c r="AC723" s="1359">
        <v>0.6</v>
      </c>
      <c r="AD723" s="1360"/>
      <c r="AE723" s="1360"/>
      <c r="AF723" s="1360"/>
      <c r="AG723" s="1361"/>
      <c r="AH723" s="1355">
        <f t="shared" si="38"/>
        <v>0.54967741935483871</v>
      </c>
      <c r="AI723" s="1356"/>
      <c r="AJ723" s="1357"/>
      <c r="AK723" s="1337" t="s">
        <v>590</v>
      </c>
      <c r="AL723" s="1338"/>
      <c r="AM723" s="1338"/>
      <c r="AN723" s="1338"/>
      <c r="AO723" s="1339"/>
      <c r="AP723" s="3"/>
      <c r="AQ723" s="3"/>
      <c r="AR723" s="3"/>
      <c r="AS723" s="3"/>
      <c r="AY723" s="116"/>
      <c r="AZ723" s="118">
        <f t="shared" si="11"/>
        <v>3100</v>
      </c>
      <c r="BA723" s="3"/>
      <c r="BB723" s="3"/>
      <c r="BC723" s="3"/>
      <c r="BD723" s="3"/>
      <c r="BE723" s="204"/>
      <c r="BF723" s="294">
        <f t="shared" si="12"/>
        <v>24</v>
      </c>
      <c r="BG723" s="297">
        <f t="shared" si="13"/>
        <v>0.16326530612244897</v>
      </c>
      <c r="BH723" s="298">
        <f t="shared" si="14"/>
        <v>9.7959183673469383E-2</v>
      </c>
      <c r="BI723" s="3"/>
      <c r="BJ723" s="3"/>
      <c r="BK723" s="3"/>
      <c r="BL723" s="3"/>
      <c r="BM723" s="3"/>
      <c r="BN723" s="3"/>
      <c r="BS723" s="294">
        <f t="shared" si="15"/>
        <v>24</v>
      </c>
      <c r="BT723" s="297">
        <f t="shared" si="16"/>
        <v>0.16326530612244897</v>
      </c>
      <c r="BU723" s="298">
        <f t="shared" si="17"/>
        <v>8.9743252139565494E-2</v>
      </c>
      <c r="CC723" s="3"/>
      <c r="CD723" s="3"/>
      <c r="CE723" s="3"/>
      <c r="CF723" s="3"/>
      <c r="CG723" s="1462">
        <f t="shared" si="39"/>
        <v>0</v>
      </c>
      <c r="CH723" s="1463"/>
      <c r="CI723" s="1468">
        <f t="shared" si="40"/>
        <v>0</v>
      </c>
      <c r="CJ723" s="1469"/>
      <c r="CK723" s="1462">
        <f t="shared" si="18"/>
        <v>0</v>
      </c>
      <c r="CL723" s="1463"/>
      <c r="CM723" s="1468">
        <f t="shared" si="19"/>
        <v>0</v>
      </c>
      <c r="CN723" s="1469"/>
      <c r="CO723" s="3"/>
      <c r="CP723" s="1457">
        <f t="shared" si="20"/>
        <v>0</v>
      </c>
      <c r="CQ723" s="1458"/>
      <c r="CR723" s="1458"/>
      <c r="CS723" s="1458"/>
      <c r="CT723" s="1459"/>
      <c r="CU723" s="1442">
        <f t="shared" si="21"/>
        <v>24</v>
      </c>
      <c r="CV723" s="1442"/>
      <c r="CW723" s="1442"/>
      <c r="CX723" s="1442"/>
      <c r="CY723" s="1442"/>
      <c r="CZ723" s="1442">
        <f t="shared" si="22"/>
        <v>0</v>
      </c>
      <c r="DA723" s="1442"/>
      <c r="DB723" s="1442"/>
      <c r="DC723" s="1442"/>
      <c r="DD723" s="1442"/>
      <c r="DE723" s="1442">
        <f t="shared" si="23"/>
        <v>0</v>
      </c>
      <c r="DF723" s="1442"/>
      <c r="DG723" s="1442"/>
      <c r="DH723" s="1442"/>
      <c r="DI723" s="1442"/>
      <c r="DJ723" s="1442">
        <f t="shared" si="24"/>
        <v>0</v>
      </c>
      <c r="DK723" s="1442"/>
      <c r="DL723" s="1442"/>
      <c r="DM723" s="1442"/>
      <c r="DN723" s="1442"/>
      <c r="DO723" s="1442">
        <f t="shared" si="25"/>
        <v>0</v>
      </c>
      <c r="DP723" s="1442"/>
      <c r="DQ723" s="1442"/>
      <c r="DR723" s="1442"/>
      <c r="DS723" s="1442"/>
      <c r="DT723" s="6"/>
      <c r="DU723" s="1443">
        <f t="shared" si="26"/>
        <v>0</v>
      </c>
      <c r="DV723" s="1443"/>
      <c r="DW723" s="1443"/>
      <c r="DX723" s="1443"/>
      <c r="DY723" s="1443"/>
      <c r="DZ723" s="1443">
        <f t="shared" si="27"/>
        <v>0</v>
      </c>
      <c r="EA723" s="1443"/>
      <c r="EB723" s="1443"/>
      <c r="EC723" s="1443"/>
      <c r="ED723" s="1443"/>
      <c r="EE723" s="1443">
        <f t="shared" si="28"/>
        <v>0</v>
      </c>
      <c r="EF723" s="1443"/>
      <c r="EG723" s="1443"/>
      <c r="EH723" s="1443"/>
      <c r="EI723" s="1443"/>
      <c r="EJ723" s="1443">
        <f t="shared" si="29"/>
        <v>0</v>
      </c>
      <c r="EK723" s="1443"/>
      <c r="EL723" s="1443"/>
      <c r="EM723" s="1443"/>
      <c r="EN723" s="1443"/>
      <c r="EO723" s="1443">
        <f t="shared" si="30"/>
        <v>0</v>
      </c>
      <c r="EP723" s="1443"/>
      <c r="EQ723" s="1443"/>
      <c r="ER723" s="1443"/>
      <c r="ES723" s="1443"/>
      <c r="ET723" s="1443">
        <f t="shared" si="31"/>
        <v>0</v>
      </c>
      <c r="EU723" s="1443"/>
      <c r="EV723" s="1443"/>
      <c r="EW723" s="1443"/>
      <c r="EX723" s="1443"/>
      <c r="EZ723" s="1462" t="str">
        <f t="shared" si="32"/>
        <v/>
      </c>
      <c r="FA723" s="1464"/>
      <c r="FB723" s="1464"/>
      <c r="FC723" s="1464"/>
      <c r="FD723" s="1463"/>
      <c r="FE723" s="1462">
        <f t="shared" si="33"/>
        <v>1704</v>
      </c>
      <c r="FF723" s="1464"/>
      <c r="FG723" s="1464"/>
      <c r="FH723" s="1464"/>
      <c r="FI723" s="1463"/>
      <c r="FJ723" s="1462" t="str">
        <f t="shared" si="34"/>
        <v/>
      </c>
      <c r="FK723" s="1464"/>
      <c r="FL723" s="1464"/>
      <c r="FM723" s="1464"/>
      <c r="FN723" s="1463"/>
      <c r="FO723" s="1462" t="str">
        <f t="shared" si="35"/>
        <v/>
      </c>
      <c r="FP723" s="1464"/>
      <c r="FQ723" s="1464"/>
      <c r="FR723" s="1464"/>
      <c r="FS723" s="1463"/>
      <c r="FT723" s="1462" t="str">
        <f t="shared" si="36"/>
        <v/>
      </c>
      <c r="FU723" s="1464"/>
      <c r="FV723" s="1464"/>
      <c r="FW723" s="1464"/>
      <c r="FX723" s="1463"/>
      <c r="FY723" s="1462" t="str">
        <f t="shared" si="37"/>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10"/>
        <v>0</v>
      </c>
      <c r="Y724" s="1353"/>
      <c r="Z724" s="1353"/>
      <c r="AA724" s="1353"/>
      <c r="AB724" s="1354"/>
      <c r="AC724" s="1359"/>
      <c r="AD724" s="1360"/>
      <c r="AE724" s="1360"/>
      <c r="AF724" s="1360"/>
      <c r="AG724" s="1361"/>
      <c r="AH724" s="1355" t="str">
        <f t="shared" si="38"/>
        <v/>
      </c>
      <c r="AI724" s="1356"/>
      <c r="AJ724" s="1357"/>
      <c r="AK724" s="1337" t="s">
        <v>590</v>
      </c>
      <c r="AL724" s="1338"/>
      <c r="AM724" s="1338"/>
      <c r="AN724" s="1338"/>
      <c r="AO724" s="1339"/>
      <c r="AP724" s="3"/>
      <c r="AQ724" s="3"/>
      <c r="AR724" s="3"/>
      <c r="AS724" s="3"/>
      <c r="AY724" s="116"/>
      <c r="AZ724" s="118" t="str">
        <f t="shared" si="11"/>
        <v>N/A</v>
      </c>
      <c r="BA724" s="3"/>
      <c r="BB724" s="3"/>
      <c r="BC724" s="3"/>
      <c r="BD724" s="3"/>
      <c r="BE724" s="204"/>
      <c r="BF724" s="294">
        <f t="shared" si="12"/>
        <v>0</v>
      </c>
      <c r="BG724" s="297">
        <f t="shared" si="13"/>
        <v>0</v>
      </c>
      <c r="BH724" s="298" t="str">
        <f t="shared" si="14"/>
        <v/>
      </c>
      <c r="BI724" s="3"/>
      <c r="BJ724" s="3"/>
      <c r="BK724" s="3"/>
      <c r="BL724" s="3"/>
      <c r="BM724" s="3"/>
      <c r="BN724" s="3"/>
      <c r="BS724" s="294">
        <f t="shared" si="15"/>
        <v>0</v>
      </c>
      <c r="BT724" s="297">
        <f t="shared" si="16"/>
        <v>0</v>
      </c>
      <c r="BU724" s="298" t="str">
        <f t="shared" si="17"/>
        <v/>
      </c>
      <c r="CC724" s="3"/>
      <c r="CE724" s="3"/>
      <c r="CF724" s="3"/>
      <c r="CG724" s="1462">
        <f t="shared" si="39"/>
        <v>0</v>
      </c>
      <c r="CH724" s="1463"/>
      <c r="CI724" s="1468">
        <f t="shared" si="40"/>
        <v>0</v>
      </c>
      <c r="CJ724" s="1469"/>
      <c r="CK724" s="1462">
        <f t="shared" si="18"/>
        <v>0</v>
      </c>
      <c r="CL724" s="1463"/>
      <c r="CM724" s="1468">
        <f t="shared" si="19"/>
        <v>0</v>
      </c>
      <c r="CN724" s="1469"/>
      <c r="CO724" s="3"/>
      <c r="CP724" s="1457">
        <f t="shared" si="20"/>
        <v>0</v>
      </c>
      <c r="CQ724" s="1458"/>
      <c r="CR724" s="1458"/>
      <c r="CS724" s="1458"/>
      <c r="CT724" s="1459"/>
      <c r="CU724" s="1442">
        <f t="shared" si="21"/>
        <v>0</v>
      </c>
      <c r="CV724" s="1442"/>
      <c r="CW724" s="1442"/>
      <c r="CX724" s="1442"/>
      <c r="CY724" s="1442"/>
      <c r="CZ724" s="1442">
        <f t="shared" si="22"/>
        <v>0</v>
      </c>
      <c r="DA724" s="1442"/>
      <c r="DB724" s="1442"/>
      <c r="DC724" s="1442"/>
      <c r="DD724" s="1442"/>
      <c r="DE724" s="1442">
        <f t="shared" si="23"/>
        <v>0</v>
      </c>
      <c r="DF724" s="1442"/>
      <c r="DG724" s="1442"/>
      <c r="DH724" s="1442"/>
      <c r="DI724" s="1442"/>
      <c r="DJ724" s="1442">
        <f t="shared" si="24"/>
        <v>0</v>
      </c>
      <c r="DK724" s="1442"/>
      <c r="DL724" s="1442"/>
      <c r="DM724" s="1442"/>
      <c r="DN724" s="1442"/>
      <c r="DO724" s="1442">
        <f t="shared" si="25"/>
        <v>0</v>
      </c>
      <c r="DP724" s="1442"/>
      <c r="DQ724" s="1442"/>
      <c r="DR724" s="1442"/>
      <c r="DS724" s="1442"/>
      <c r="DT724" s="6"/>
      <c r="DU724" s="1443">
        <f t="shared" si="26"/>
        <v>0</v>
      </c>
      <c r="DV724" s="1443"/>
      <c r="DW724" s="1443"/>
      <c r="DX724" s="1443"/>
      <c r="DY724" s="1443"/>
      <c r="DZ724" s="1443">
        <f t="shared" si="27"/>
        <v>0</v>
      </c>
      <c r="EA724" s="1443"/>
      <c r="EB724" s="1443"/>
      <c r="EC724" s="1443"/>
      <c r="ED724" s="1443"/>
      <c r="EE724" s="1443">
        <f t="shared" si="28"/>
        <v>0</v>
      </c>
      <c r="EF724" s="1443"/>
      <c r="EG724" s="1443"/>
      <c r="EH724" s="1443"/>
      <c r="EI724" s="1443"/>
      <c r="EJ724" s="1443">
        <f t="shared" si="29"/>
        <v>0</v>
      </c>
      <c r="EK724" s="1443"/>
      <c r="EL724" s="1443"/>
      <c r="EM724" s="1443"/>
      <c r="EN724" s="1443"/>
      <c r="EO724" s="1443">
        <f t="shared" si="30"/>
        <v>0</v>
      </c>
      <c r="EP724" s="1443"/>
      <c r="EQ724" s="1443"/>
      <c r="ER724" s="1443"/>
      <c r="ES724" s="1443"/>
      <c r="ET724" s="1443">
        <f t="shared" si="31"/>
        <v>0</v>
      </c>
      <c r="EU724" s="1443"/>
      <c r="EV724" s="1443"/>
      <c r="EW724" s="1443"/>
      <c r="EX724" s="1443"/>
      <c r="EZ724" s="1462" t="str">
        <f t="shared" si="32"/>
        <v/>
      </c>
      <c r="FA724" s="1464"/>
      <c r="FB724" s="1464"/>
      <c r="FC724" s="1464"/>
      <c r="FD724" s="1463"/>
      <c r="FE724" s="1462" t="str">
        <f t="shared" si="33"/>
        <v/>
      </c>
      <c r="FF724" s="1464"/>
      <c r="FG724" s="1464"/>
      <c r="FH724" s="1464"/>
      <c r="FI724" s="1463"/>
      <c r="FJ724" s="1462" t="str">
        <f t="shared" si="34"/>
        <v/>
      </c>
      <c r="FK724" s="1464"/>
      <c r="FL724" s="1464"/>
      <c r="FM724" s="1464"/>
      <c r="FN724" s="1463"/>
      <c r="FO724" s="1462" t="str">
        <f t="shared" si="35"/>
        <v/>
      </c>
      <c r="FP724" s="1464"/>
      <c r="FQ724" s="1464"/>
      <c r="FR724" s="1464"/>
      <c r="FS724" s="1463"/>
      <c r="FT724" s="1462" t="str">
        <f t="shared" si="36"/>
        <v/>
      </c>
      <c r="FU724" s="1464"/>
      <c r="FV724" s="1464"/>
      <c r="FW724" s="1464"/>
      <c r="FX724" s="1463"/>
      <c r="FY724" s="1462" t="str">
        <f t="shared" si="37"/>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10"/>
        <v>0</v>
      </c>
      <c r="Y725" s="1353"/>
      <c r="Z725" s="1353"/>
      <c r="AA725" s="1353"/>
      <c r="AB725" s="1354"/>
      <c r="AC725" s="1359"/>
      <c r="AD725" s="1360"/>
      <c r="AE725" s="1360"/>
      <c r="AF725" s="1360"/>
      <c r="AG725" s="1361"/>
      <c r="AH725" s="1355" t="str">
        <f t="shared" si="38"/>
        <v/>
      </c>
      <c r="AI725" s="1356"/>
      <c r="AJ725" s="1357"/>
      <c r="AK725" s="1337" t="s">
        <v>590</v>
      </c>
      <c r="AL725" s="1338"/>
      <c r="AM725" s="1338"/>
      <c r="AN725" s="1338"/>
      <c r="AO725" s="1339"/>
      <c r="AP725" s="3"/>
      <c r="AQ725" s="3"/>
      <c r="AR725" s="3"/>
      <c r="AS725" s="3"/>
      <c r="AY725" s="1085"/>
      <c r="AZ725" s="118" t="str">
        <f t="shared" si="11"/>
        <v>N/A</v>
      </c>
      <c r="BA725" s="3"/>
      <c r="BB725" s="3"/>
      <c r="BC725" s="3"/>
      <c r="BD725" s="3"/>
      <c r="BE725" s="204"/>
      <c r="BF725" s="294">
        <f t="shared" si="12"/>
        <v>0</v>
      </c>
      <c r="BG725" s="297">
        <f t="shared" si="13"/>
        <v>0</v>
      </c>
      <c r="BH725" s="298" t="str">
        <f t="shared" si="14"/>
        <v/>
      </c>
      <c r="BI725" s="3"/>
      <c r="BJ725" s="3"/>
      <c r="BK725" s="3"/>
      <c r="BL725" s="3"/>
      <c r="BM725" s="3"/>
      <c r="BN725" s="3"/>
      <c r="BS725" s="294">
        <f t="shared" si="15"/>
        <v>0</v>
      </c>
      <c r="BT725" s="297">
        <f t="shared" si="16"/>
        <v>0</v>
      </c>
      <c r="BU725" s="298" t="str">
        <f t="shared" si="17"/>
        <v/>
      </c>
      <c r="BV725" s="292"/>
      <c r="BW725" s="3"/>
      <c r="BX725" s="3"/>
      <c r="BY725" s="3"/>
      <c r="BZ725" s="3"/>
      <c r="CA725" s="3"/>
      <c r="CB725" s="3"/>
      <c r="CC725" s="3"/>
      <c r="CE725" s="3"/>
      <c r="CF725" s="3"/>
      <c r="CG725" s="1462">
        <f t="shared" si="39"/>
        <v>0</v>
      </c>
      <c r="CH725" s="1463"/>
      <c r="CI725" s="1468">
        <f t="shared" si="40"/>
        <v>0</v>
      </c>
      <c r="CJ725" s="1469"/>
      <c r="CK725" s="1462">
        <f t="shared" si="18"/>
        <v>0</v>
      </c>
      <c r="CL725" s="1463"/>
      <c r="CM725" s="1468">
        <f t="shared" si="19"/>
        <v>0</v>
      </c>
      <c r="CN725" s="1469"/>
      <c r="CO725" s="3"/>
      <c r="CP725" s="1457">
        <f t="shared" si="20"/>
        <v>0</v>
      </c>
      <c r="CQ725" s="1458"/>
      <c r="CR725" s="1458"/>
      <c r="CS725" s="1458"/>
      <c r="CT725" s="1459"/>
      <c r="CU725" s="1442">
        <f t="shared" si="21"/>
        <v>0</v>
      </c>
      <c r="CV725" s="1442"/>
      <c r="CW725" s="1442"/>
      <c r="CX725" s="1442"/>
      <c r="CY725" s="1442"/>
      <c r="CZ725" s="1442">
        <f t="shared" si="22"/>
        <v>0</v>
      </c>
      <c r="DA725" s="1442"/>
      <c r="DB725" s="1442"/>
      <c r="DC725" s="1442"/>
      <c r="DD725" s="1442"/>
      <c r="DE725" s="1442">
        <f t="shared" si="23"/>
        <v>0</v>
      </c>
      <c r="DF725" s="1442"/>
      <c r="DG725" s="1442"/>
      <c r="DH725" s="1442"/>
      <c r="DI725" s="1442"/>
      <c r="DJ725" s="1442">
        <f t="shared" si="24"/>
        <v>0</v>
      </c>
      <c r="DK725" s="1442"/>
      <c r="DL725" s="1442"/>
      <c r="DM725" s="1442"/>
      <c r="DN725" s="1442"/>
      <c r="DO725" s="1442">
        <f t="shared" si="25"/>
        <v>0</v>
      </c>
      <c r="DP725" s="1442"/>
      <c r="DQ725" s="1442"/>
      <c r="DR725" s="1442"/>
      <c r="DS725" s="1442"/>
      <c r="DT725" s="6"/>
      <c r="DU725" s="1443">
        <f t="shared" si="26"/>
        <v>0</v>
      </c>
      <c r="DV725" s="1443"/>
      <c r="DW725" s="1443"/>
      <c r="DX725" s="1443"/>
      <c r="DY725" s="1443"/>
      <c r="DZ725" s="1443">
        <f t="shared" si="27"/>
        <v>0</v>
      </c>
      <c r="EA725" s="1443"/>
      <c r="EB725" s="1443"/>
      <c r="EC725" s="1443"/>
      <c r="ED725" s="1443"/>
      <c r="EE725" s="1443">
        <f t="shared" si="28"/>
        <v>0</v>
      </c>
      <c r="EF725" s="1443"/>
      <c r="EG725" s="1443"/>
      <c r="EH725" s="1443"/>
      <c r="EI725" s="1443"/>
      <c r="EJ725" s="1443">
        <f t="shared" si="29"/>
        <v>0</v>
      </c>
      <c r="EK725" s="1443"/>
      <c r="EL725" s="1443"/>
      <c r="EM725" s="1443"/>
      <c r="EN725" s="1443"/>
      <c r="EO725" s="1443">
        <f t="shared" si="30"/>
        <v>0</v>
      </c>
      <c r="EP725" s="1443"/>
      <c r="EQ725" s="1443"/>
      <c r="ER725" s="1443"/>
      <c r="ES725" s="1443"/>
      <c r="ET725" s="1443">
        <f t="shared" si="31"/>
        <v>0</v>
      </c>
      <c r="EU725" s="1443"/>
      <c r="EV725" s="1443"/>
      <c r="EW725" s="1443"/>
      <c r="EX725" s="1443"/>
      <c r="EZ725" s="1462" t="str">
        <f t="shared" si="32"/>
        <v/>
      </c>
      <c r="FA725" s="1464"/>
      <c r="FB725" s="1464"/>
      <c r="FC725" s="1464"/>
      <c r="FD725" s="1463"/>
      <c r="FE725" s="1462" t="str">
        <f t="shared" si="33"/>
        <v/>
      </c>
      <c r="FF725" s="1464"/>
      <c r="FG725" s="1464"/>
      <c r="FH725" s="1464"/>
      <c r="FI725" s="1463"/>
      <c r="FJ725" s="1462" t="str">
        <f t="shared" si="34"/>
        <v/>
      </c>
      <c r="FK725" s="1464"/>
      <c r="FL725" s="1464"/>
      <c r="FM725" s="1464"/>
      <c r="FN725" s="1463"/>
      <c r="FO725" s="1462" t="str">
        <f t="shared" si="35"/>
        <v/>
      </c>
      <c r="FP725" s="1464"/>
      <c r="FQ725" s="1464"/>
      <c r="FR725" s="1464"/>
      <c r="FS725" s="1463"/>
      <c r="FT725" s="1462" t="str">
        <f t="shared" si="36"/>
        <v/>
      </c>
      <c r="FU725" s="1464"/>
      <c r="FV725" s="1464"/>
      <c r="FW725" s="1464"/>
      <c r="FX725" s="1463"/>
      <c r="FY725" s="1462" t="str">
        <f t="shared" si="37"/>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10"/>
        <v>0</v>
      </c>
      <c r="Y726" s="1353"/>
      <c r="Z726" s="1353"/>
      <c r="AA726" s="1353"/>
      <c r="AB726" s="1354"/>
      <c r="AC726" s="1359"/>
      <c r="AD726" s="1360"/>
      <c r="AE726" s="1360"/>
      <c r="AF726" s="1360"/>
      <c r="AG726" s="1361"/>
      <c r="AH726" s="1355" t="str">
        <f t="shared" si="38"/>
        <v/>
      </c>
      <c r="AI726" s="1356"/>
      <c r="AJ726" s="1357"/>
      <c r="AK726" s="1337" t="s">
        <v>590</v>
      </c>
      <c r="AL726" s="1338"/>
      <c r="AM726" s="1338"/>
      <c r="AN726" s="1338"/>
      <c r="AO726" s="1339"/>
      <c r="AP726" s="3"/>
      <c r="AQ726" s="3"/>
      <c r="AR726" s="3"/>
      <c r="AS726" s="3"/>
      <c r="AY726" s="1085"/>
      <c r="AZ726" s="118" t="str">
        <f t="shared" si="11"/>
        <v>N/A</v>
      </c>
      <c r="BA726" s="3"/>
      <c r="BB726" s="3"/>
      <c r="BC726" s="3"/>
      <c r="BD726" s="3"/>
      <c r="BE726" s="204"/>
      <c r="BF726" s="294">
        <f t="shared" si="12"/>
        <v>0</v>
      </c>
      <c r="BG726" s="297">
        <f t="shared" si="13"/>
        <v>0</v>
      </c>
      <c r="BH726" s="298" t="str">
        <f t="shared" si="14"/>
        <v/>
      </c>
      <c r="BI726" s="3"/>
      <c r="BJ726" s="3"/>
      <c r="BK726" s="3"/>
      <c r="BL726" s="3"/>
      <c r="BM726" s="3"/>
      <c r="BN726" s="3"/>
      <c r="BS726" s="294">
        <f t="shared" si="15"/>
        <v>0</v>
      </c>
      <c r="BT726" s="297">
        <f t="shared" si="16"/>
        <v>0</v>
      </c>
      <c r="BU726" s="298" t="str">
        <f t="shared" si="17"/>
        <v/>
      </c>
      <c r="BV726" s="3"/>
      <c r="BW726" s="3"/>
      <c r="BX726" s="3"/>
      <c r="BY726" s="3"/>
      <c r="BZ726" s="3"/>
      <c r="CA726" s="3"/>
      <c r="CB726" s="3"/>
      <c r="CC726" s="3"/>
      <c r="CE726" s="3"/>
      <c r="CF726" s="3"/>
      <c r="CG726" s="1462">
        <f t="shared" si="39"/>
        <v>0</v>
      </c>
      <c r="CH726" s="1463"/>
      <c r="CI726" s="1468">
        <f t="shared" si="40"/>
        <v>0</v>
      </c>
      <c r="CJ726" s="1469"/>
      <c r="CK726" s="1462">
        <f t="shared" si="18"/>
        <v>0</v>
      </c>
      <c r="CL726" s="1463"/>
      <c r="CM726" s="1468">
        <f t="shared" si="19"/>
        <v>0</v>
      </c>
      <c r="CN726" s="1469"/>
      <c r="CO726" s="3"/>
      <c r="CP726" s="1457">
        <f t="shared" si="20"/>
        <v>0</v>
      </c>
      <c r="CQ726" s="1458"/>
      <c r="CR726" s="1458"/>
      <c r="CS726" s="1458"/>
      <c r="CT726" s="1459"/>
      <c r="CU726" s="1442">
        <f t="shared" si="21"/>
        <v>0</v>
      </c>
      <c r="CV726" s="1442"/>
      <c r="CW726" s="1442"/>
      <c r="CX726" s="1442"/>
      <c r="CY726" s="1442"/>
      <c r="CZ726" s="1442">
        <f t="shared" si="22"/>
        <v>0</v>
      </c>
      <c r="DA726" s="1442"/>
      <c r="DB726" s="1442"/>
      <c r="DC726" s="1442"/>
      <c r="DD726" s="1442"/>
      <c r="DE726" s="1442">
        <f t="shared" si="23"/>
        <v>0</v>
      </c>
      <c r="DF726" s="1442"/>
      <c r="DG726" s="1442"/>
      <c r="DH726" s="1442"/>
      <c r="DI726" s="1442"/>
      <c r="DJ726" s="1442">
        <f t="shared" si="24"/>
        <v>0</v>
      </c>
      <c r="DK726" s="1442"/>
      <c r="DL726" s="1442"/>
      <c r="DM726" s="1442"/>
      <c r="DN726" s="1442"/>
      <c r="DO726" s="1442">
        <f t="shared" si="25"/>
        <v>0</v>
      </c>
      <c r="DP726" s="1442"/>
      <c r="DQ726" s="1442"/>
      <c r="DR726" s="1442"/>
      <c r="DS726" s="1442"/>
      <c r="DT726" s="6"/>
      <c r="DU726" s="1443">
        <f t="shared" si="26"/>
        <v>0</v>
      </c>
      <c r="DV726" s="1443"/>
      <c r="DW726" s="1443"/>
      <c r="DX726" s="1443"/>
      <c r="DY726" s="1443"/>
      <c r="DZ726" s="1443">
        <f t="shared" si="27"/>
        <v>0</v>
      </c>
      <c r="EA726" s="1443"/>
      <c r="EB726" s="1443"/>
      <c r="EC726" s="1443"/>
      <c r="ED726" s="1443"/>
      <c r="EE726" s="1443">
        <f t="shared" si="28"/>
        <v>0</v>
      </c>
      <c r="EF726" s="1443"/>
      <c r="EG726" s="1443"/>
      <c r="EH726" s="1443"/>
      <c r="EI726" s="1443"/>
      <c r="EJ726" s="1443">
        <f t="shared" si="29"/>
        <v>0</v>
      </c>
      <c r="EK726" s="1443"/>
      <c r="EL726" s="1443"/>
      <c r="EM726" s="1443"/>
      <c r="EN726" s="1443"/>
      <c r="EO726" s="1443">
        <f t="shared" si="30"/>
        <v>0</v>
      </c>
      <c r="EP726" s="1443"/>
      <c r="EQ726" s="1443"/>
      <c r="ER726" s="1443"/>
      <c r="ES726" s="1443"/>
      <c r="ET726" s="1443">
        <f t="shared" si="31"/>
        <v>0</v>
      </c>
      <c r="EU726" s="1443"/>
      <c r="EV726" s="1443"/>
      <c r="EW726" s="1443"/>
      <c r="EX726" s="1443"/>
      <c r="EY726" s="4"/>
      <c r="EZ726" s="1462" t="str">
        <f t="shared" si="32"/>
        <v/>
      </c>
      <c r="FA726" s="1464"/>
      <c r="FB726" s="1464"/>
      <c r="FC726" s="1464"/>
      <c r="FD726" s="1463"/>
      <c r="FE726" s="1462" t="str">
        <f t="shared" si="33"/>
        <v/>
      </c>
      <c r="FF726" s="1464"/>
      <c r="FG726" s="1464"/>
      <c r="FH726" s="1464"/>
      <c r="FI726" s="1463"/>
      <c r="FJ726" s="1462" t="str">
        <f t="shared" si="34"/>
        <v/>
      </c>
      <c r="FK726" s="1464"/>
      <c r="FL726" s="1464"/>
      <c r="FM726" s="1464"/>
      <c r="FN726" s="1463"/>
      <c r="FO726" s="1462" t="str">
        <f t="shared" si="35"/>
        <v/>
      </c>
      <c r="FP726" s="1464"/>
      <c r="FQ726" s="1464"/>
      <c r="FR726" s="1464"/>
      <c r="FS726" s="1463"/>
      <c r="FT726" s="1462" t="str">
        <f t="shared" si="36"/>
        <v/>
      </c>
      <c r="FU726" s="1464"/>
      <c r="FV726" s="1464"/>
      <c r="FW726" s="1464"/>
      <c r="FX726" s="1463"/>
      <c r="FY726" s="1462" t="str">
        <f t="shared" si="37"/>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10"/>
        <v>0</v>
      </c>
      <c r="Y727" s="1353"/>
      <c r="Z727" s="1353"/>
      <c r="AA727" s="1353"/>
      <c r="AB727" s="1354"/>
      <c r="AC727" s="1359"/>
      <c r="AD727" s="1360"/>
      <c r="AE727" s="1360"/>
      <c r="AF727" s="1360"/>
      <c r="AG727" s="1361"/>
      <c r="AH727" s="1355" t="str">
        <f t="shared" si="38"/>
        <v/>
      </c>
      <c r="AI727" s="1356"/>
      <c r="AJ727" s="1357"/>
      <c r="AK727" s="1337" t="s">
        <v>590</v>
      </c>
      <c r="AL727" s="1338"/>
      <c r="AM727" s="1338"/>
      <c r="AN727" s="1338"/>
      <c r="AO727" s="1339"/>
      <c r="AP727" s="3"/>
      <c r="AQ727" s="3"/>
      <c r="AR727" s="3"/>
      <c r="AS727" s="3"/>
      <c r="AY727" s="1085"/>
      <c r="AZ727" s="118" t="str">
        <f t="shared" si="11"/>
        <v>N/A</v>
      </c>
      <c r="BA727" s="3"/>
      <c r="BB727" s="3"/>
      <c r="BC727" s="3"/>
      <c r="BD727" s="3"/>
      <c r="BE727" s="204"/>
      <c r="BF727" s="294">
        <f t="shared" si="12"/>
        <v>0</v>
      </c>
      <c r="BG727" s="297">
        <f t="shared" si="13"/>
        <v>0</v>
      </c>
      <c r="BH727" s="298" t="str">
        <f t="shared" si="14"/>
        <v/>
      </c>
      <c r="BI727" s="3"/>
      <c r="BJ727" s="3"/>
      <c r="BK727" s="3"/>
      <c r="BL727" s="3"/>
      <c r="BM727" s="3"/>
      <c r="BN727" s="3"/>
      <c r="BS727" s="294">
        <f t="shared" si="15"/>
        <v>0</v>
      </c>
      <c r="BT727" s="297">
        <f t="shared" si="16"/>
        <v>0</v>
      </c>
      <c r="BU727" s="298" t="str">
        <f t="shared" si="17"/>
        <v/>
      </c>
      <c r="BV727" s="3"/>
      <c r="BW727" s="3"/>
      <c r="BX727" s="3"/>
      <c r="BY727" s="3"/>
      <c r="BZ727" s="3"/>
      <c r="CA727" s="3"/>
      <c r="CB727" s="3"/>
      <c r="CC727" s="3"/>
      <c r="CE727" s="3"/>
      <c r="CF727" s="3"/>
      <c r="CG727" s="1462">
        <f t="shared" si="39"/>
        <v>0</v>
      </c>
      <c r="CH727" s="1463"/>
      <c r="CI727" s="1468">
        <f t="shared" si="40"/>
        <v>0</v>
      </c>
      <c r="CJ727" s="1469"/>
      <c r="CK727" s="1462">
        <f t="shared" si="18"/>
        <v>0</v>
      </c>
      <c r="CL727" s="1463"/>
      <c r="CM727" s="1468">
        <f t="shared" si="19"/>
        <v>0</v>
      </c>
      <c r="CN727" s="1469"/>
      <c r="CO727" s="3"/>
      <c r="CP727" s="1457">
        <f t="shared" si="20"/>
        <v>0</v>
      </c>
      <c r="CQ727" s="1458"/>
      <c r="CR727" s="1458"/>
      <c r="CS727" s="1458"/>
      <c r="CT727" s="1459"/>
      <c r="CU727" s="1442">
        <f t="shared" si="21"/>
        <v>0</v>
      </c>
      <c r="CV727" s="1442"/>
      <c r="CW727" s="1442"/>
      <c r="CX727" s="1442"/>
      <c r="CY727" s="1442"/>
      <c r="CZ727" s="1442">
        <f t="shared" si="22"/>
        <v>0</v>
      </c>
      <c r="DA727" s="1442"/>
      <c r="DB727" s="1442"/>
      <c r="DC727" s="1442"/>
      <c r="DD727" s="1442"/>
      <c r="DE727" s="1442">
        <f t="shared" si="23"/>
        <v>0</v>
      </c>
      <c r="DF727" s="1442"/>
      <c r="DG727" s="1442"/>
      <c r="DH727" s="1442"/>
      <c r="DI727" s="1442"/>
      <c r="DJ727" s="1442">
        <f t="shared" si="24"/>
        <v>0</v>
      </c>
      <c r="DK727" s="1442"/>
      <c r="DL727" s="1442"/>
      <c r="DM727" s="1442"/>
      <c r="DN727" s="1442"/>
      <c r="DO727" s="1442">
        <f t="shared" si="25"/>
        <v>0</v>
      </c>
      <c r="DP727" s="1442"/>
      <c r="DQ727" s="1442"/>
      <c r="DR727" s="1442"/>
      <c r="DS727" s="1442"/>
      <c r="DT727" s="6"/>
      <c r="DU727" s="1443">
        <f t="shared" si="26"/>
        <v>0</v>
      </c>
      <c r="DV727" s="1443"/>
      <c r="DW727" s="1443"/>
      <c r="DX727" s="1443"/>
      <c r="DY727" s="1443"/>
      <c r="DZ727" s="1443">
        <f t="shared" si="27"/>
        <v>0</v>
      </c>
      <c r="EA727" s="1443"/>
      <c r="EB727" s="1443"/>
      <c r="EC727" s="1443"/>
      <c r="ED727" s="1443"/>
      <c r="EE727" s="1443">
        <f t="shared" si="28"/>
        <v>0</v>
      </c>
      <c r="EF727" s="1443"/>
      <c r="EG727" s="1443"/>
      <c r="EH727" s="1443"/>
      <c r="EI727" s="1443"/>
      <c r="EJ727" s="1443">
        <f t="shared" si="29"/>
        <v>0</v>
      </c>
      <c r="EK727" s="1443"/>
      <c r="EL727" s="1443"/>
      <c r="EM727" s="1443"/>
      <c r="EN727" s="1443"/>
      <c r="EO727" s="1443">
        <f t="shared" si="30"/>
        <v>0</v>
      </c>
      <c r="EP727" s="1443"/>
      <c r="EQ727" s="1443"/>
      <c r="ER727" s="1443"/>
      <c r="ES727" s="1443"/>
      <c r="ET727" s="1443">
        <f t="shared" si="31"/>
        <v>0</v>
      </c>
      <c r="EU727" s="1443"/>
      <c r="EV727" s="1443"/>
      <c r="EW727" s="1443"/>
      <c r="EX727" s="1443"/>
      <c r="EY727" s="4"/>
      <c r="EZ727" s="1462" t="str">
        <f t="shared" si="32"/>
        <v/>
      </c>
      <c r="FA727" s="1464"/>
      <c r="FB727" s="1464"/>
      <c r="FC727" s="1464"/>
      <c r="FD727" s="1463"/>
      <c r="FE727" s="1462" t="str">
        <f t="shared" si="33"/>
        <v/>
      </c>
      <c r="FF727" s="1464"/>
      <c r="FG727" s="1464"/>
      <c r="FH727" s="1464"/>
      <c r="FI727" s="1463"/>
      <c r="FJ727" s="1462" t="str">
        <f t="shared" si="34"/>
        <v/>
      </c>
      <c r="FK727" s="1464"/>
      <c r="FL727" s="1464"/>
      <c r="FM727" s="1464"/>
      <c r="FN727" s="1463"/>
      <c r="FO727" s="1462" t="str">
        <f t="shared" si="35"/>
        <v/>
      </c>
      <c r="FP727" s="1464"/>
      <c r="FQ727" s="1464"/>
      <c r="FR727" s="1464"/>
      <c r="FS727" s="1463"/>
      <c r="FT727" s="1462" t="str">
        <f t="shared" si="36"/>
        <v/>
      </c>
      <c r="FU727" s="1464"/>
      <c r="FV727" s="1464"/>
      <c r="FW727" s="1464"/>
      <c r="FX727" s="1463"/>
      <c r="FY727" s="1462" t="str">
        <f t="shared" si="37"/>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10"/>
        <v>0</v>
      </c>
      <c r="Y728" s="1353"/>
      <c r="Z728" s="1353"/>
      <c r="AA728" s="1353"/>
      <c r="AB728" s="1354"/>
      <c r="AC728" s="1359"/>
      <c r="AD728" s="1360"/>
      <c r="AE728" s="1360"/>
      <c r="AF728" s="1360"/>
      <c r="AG728" s="1361"/>
      <c r="AH728" s="1355" t="str">
        <f t="shared" si="38"/>
        <v/>
      </c>
      <c r="AI728" s="1356"/>
      <c r="AJ728" s="1357"/>
      <c r="AK728" s="1337" t="s">
        <v>590</v>
      </c>
      <c r="AL728" s="1338"/>
      <c r="AM728" s="1338"/>
      <c r="AN728" s="1338"/>
      <c r="AO728" s="1339"/>
      <c r="AP728" s="3"/>
      <c r="AQ728" s="3"/>
      <c r="AR728" s="3"/>
      <c r="AS728" s="3"/>
      <c r="AY728" s="1085"/>
      <c r="AZ728" s="118" t="str">
        <f t="shared" si="11"/>
        <v>N/A</v>
      </c>
      <c r="BA728" s="3"/>
      <c r="BB728" s="3"/>
      <c r="BC728" s="3"/>
      <c r="BD728" s="3"/>
      <c r="BE728" s="204"/>
      <c r="BF728" s="294">
        <f t="shared" si="12"/>
        <v>0</v>
      </c>
      <c r="BG728" s="297">
        <f t="shared" si="13"/>
        <v>0</v>
      </c>
      <c r="BH728" s="298" t="str">
        <f t="shared" si="14"/>
        <v/>
      </c>
      <c r="BI728" s="3"/>
      <c r="BJ728" s="3"/>
      <c r="BK728" s="3"/>
      <c r="BL728" s="3"/>
      <c r="BM728" s="3"/>
      <c r="BN728" s="3"/>
      <c r="BS728" s="294">
        <f t="shared" si="15"/>
        <v>0</v>
      </c>
      <c r="BT728" s="297">
        <f t="shared" si="16"/>
        <v>0</v>
      </c>
      <c r="BU728" s="298" t="str">
        <f t="shared" si="17"/>
        <v/>
      </c>
      <c r="BV728" s="3"/>
      <c r="BW728" s="3"/>
      <c r="BX728" s="3"/>
      <c r="BY728" s="3"/>
      <c r="BZ728" s="3"/>
      <c r="CA728" s="3"/>
      <c r="CB728" s="3"/>
      <c r="CC728" s="3"/>
      <c r="CE728" s="3"/>
      <c r="CF728" s="3"/>
      <c r="CG728" s="1462">
        <f t="shared" si="39"/>
        <v>0</v>
      </c>
      <c r="CH728" s="1463"/>
      <c r="CI728" s="1468">
        <f t="shared" si="40"/>
        <v>0</v>
      </c>
      <c r="CJ728" s="1469"/>
      <c r="CK728" s="1462">
        <f t="shared" si="18"/>
        <v>0</v>
      </c>
      <c r="CL728" s="1463"/>
      <c r="CM728" s="1468">
        <f t="shared" si="19"/>
        <v>0</v>
      </c>
      <c r="CN728" s="1469"/>
      <c r="CO728" s="3"/>
      <c r="CP728" s="1457">
        <f t="shared" si="20"/>
        <v>0</v>
      </c>
      <c r="CQ728" s="1458"/>
      <c r="CR728" s="1458"/>
      <c r="CS728" s="1458"/>
      <c r="CT728" s="1459"/>
      <c r="CU728" s="1442">
        <f t="shared" si="21"/>
        <v>0</v>
      </c>
      <c r="CV728" s="1442"/>
      <c r="CW728" s="1442"/>
      <c r="CX728" s="1442"/>
      <c r="CY728" s="1442"/>
      <c r="CZ728" s="1442">
        <f t="shared" si="22"/>
        <v>0</v>
      </c>
      <c r="DA728" s="1442"/>
      <c r="DB728" s="1442"/>
      <c r="DC728" s="1442"/>
      <c r="DD728" s="1442"/>
      <c r="DE728" s="1442">
        <f t="shared" si="23"/>
        <v>0</v>
      </c>
      <c r="DF728" s="1442"/>
      <c r="DG728" s="1442"/>
      <c r="DH728" s="1442"/>
      <c r="DI728" s="1442"/>
      <c r="DJ728" s="1442">
        <f t="shared" si="24"/>
        <v>0</v>
      </c>
      <c r="DK728" s="1442"/>
      <c r="DL728" s="1442"/>
      <c r="DM728" s="1442"/>
      <c r="DN728" s="1442"/>
      <c r="DO728" s="1442">
        <f t="shared" si="25"/>
        <v>0</v>
      </c>
      <c r="DP728" s="1442"/>
      <c r="DQ728" s="1442"/>
      <c r="DR728" s="1442"/>
      <c r="DS728" s="1442"/>
      <c r="DT728" s="6"/>
      <c r="DU728" s="1443">
        <f t="shared" si="26"/>
        <v>0</v>
      </c>
      <c r="DV728" s="1443"/>
      <c r="DW728" s="1443"/>
      <c r="DX728" s="1443"/>
      <c r="DY728" s="1443"/>
      <c r="DZ728" s="1443">
        <f t="shared" si="27"/>
        <v>0</v>
      </c>
      <c r="EA728" s="1443"/>
      <c r="EB728" s="1443"/>
      <c r="EC728" s="1443"/>
      <c r="ED728" s="1443"/>
      <c r="EE728" s="1443">
        <f t="shared" si="28"/>
        <v>0</v>
      </c>
      <c r="EF728" s="1443"/>
      <c r="EG728" s="1443"/>
      <c r="EH728" s="1443"/>
      <c r="EI728" s="1443"/>
      <c r="EJ728" s="1443">
        <f t="shared" si="29"/>
        <v>0</v>
      </c>
      <c r="EK728" s="1443"/>
      <c r="EL728" s="1443"/>
      <c r="EM728" s="1443"/>
      <c r="EN728" s="1443"/>
      <c r="EO728" s="1443">
        <f t="shared" si="30"/>
        <v>0</v>
      </c>
      <c r="EP728" s="1443"/>
      <c r="EQ728" s="1443"/>
      <c r="ER728" s="1443"/>
      <c r="ES728" s="1443"/>
      <c r="ET728" s="1443">
        <f t="shared" si="31"/>
        <v>0</v>
      </c>
      <c r="EU728" s="1443"/>
      <c r="EV728" s="1443"/>
      <c r="EW728" s="1443"/>
      <c r="EX728" s="1443"/>
      <c r="EY728" s="4"/>
      <c r="EZ728" s="1462" t="str">
        <f t="shared" si="32"/>
        <v/>
      </c>
      <c r="FA728" s="1464"/>
      <c r="FB728" s="1464"/>
      <c r="FC728" s="1464"/>
      <c r="FD728" s="1463"/>
      <c r="FE728" s="1462" t="str">
        <f t="shared" si="33"/>
        <v/>
      </c>
      <c r="FF728" s="1464"/>
      <c r="FG728" s="1464"/>
      <c r="FH728" s="1464"/>
      <c r="FI728" s="1463"/>
      <c r="FJ728" s="1462" t="str">
        <f t="shared" si="34"/>
        <v/>
      </c>
      <c r="FK728" s="1464"/>
      <c r="FL728" s="1464"/>
      <c r="FM728" s="1464"/>
      <c r="FN728" s="1463"/>
      <c r="FO728" s="1462" t="str">
        <f t="shared" si="35"/>
        <v/>
      </c>
      <c r="FP728" s="1464"/>
      <c r="FQ728" s="1464"/>
      <c r="FR728" s="1464"/>
      <c r="FS728" s="1463"/>
      <c r="FT728" s="1462" t="str">
        <f t="shared" si="36"/>
        <v/>
      </c>
      <c r="FU728" s="1464"/>
      <c r="FV728" s="1464"/>
      <c r="FW728" s="1464"/>
      <c r="FX728" s="1463"/>
      <c r="FY728" s="1462" t="str">
        <f t="shared" si="37"/>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10"/>
        <v>0</v>
      </c>
      <c r="Y729" s="1353"/>
      <c r="Z729" s="1353"/>
      <c r="AA729" s="1353"/>
      <c r="AB729" s="1354"/>
      <c r="AC729" s="1359"/>
      <c r="AD729" s="1360"/>
      <c r="AE729" s="1360"/>
      <c r="AF729" s="1360"/>
      <c r="AG729" s="1361"/>
      <c r="AH729" s="1355" t="str">
        <f t="shared" si="38"/>
        <v/>
      </c>
      <c r="AI729" s="1356"/>
      <c r="AJ729" s="1357"/>
      <c r="AK729" s="1337" t="s">
        <v>590</v>
      </c>
      <c r="AL729" s="1338"/>
      <c r="AM729" s="1338"/>
      <c r="AN729" s="1338"/>
      <c r="AO729" s="1339"/>
      <c r="AP729" s="3"/>
      <c r="AQ729" s="3"/>
      <c r="AR729" s="3"/>
      <c r="AS729" s="3"/>
      <c r="AY729" s="1085"/>
      <c r="AZ729" s="118" t="str">
        <f t="shared" si="11"/>
        <v>N/A</v>
      </c>
      <c r="BA729" s="3"/>
      <c r="BB729" s="3"/>
      <c r="BC729" s="3"/>
      <c r="BD729" s="3"/>
      <c r="BE729" s="204"/>
      <c r="BF729" s="294">
        <f t="shared" si="12"/>
        <v>0</v>
      </c>
      <c r="BG729" s="297">
        <f t="shared" si="13"/>
        <v>0</v>
      </c>
      <c r="BH729" s="298" t="str">
        <f t="shared" si="14"/>
        <v/>
      </c>
      <c r="BI729" s="3"/>
      <c r="BJ729" s="3"/>
      <c r="BK729" s="3"/>
      <c r="BL729" s="3"/>
      <c r="BM729" s="3"/>
      <c r="BN729" s="3"/>
      <c r="BS729" s="294">
        <f t="shared" si="15"/>
        <v>0</v>
      </c>
      <c r="BT729" s="297">
        <f t="shared" si="16"/>
        <v>0</v>
      </c>
      <c r="BU729" s="298" t="str">
        <f t="shared" si="17"/>
        <v/>
      </c>
      <c r="BV729" s="3"/>
      <c r="BW729" s="3"/>
      <c r="BX729" s="3"/>
      <c r="BY729" s="3"/>
      <c r="BZ729" s="3"/>
      <c r="CA729" s="3"/>
      <c r="CB729" s="3"/>
      <c r="CC729" s="3"/>
      <c r="CE729" s="3"/>
      <c r="CF729" s="3"/>
      <c r="CG729" s="1462">
        <f t="shared" si="39"/>
        <v>0</v>
      </c>
      <c r="CH729" s="1463"/>
      <c r="CI729" s="1468">
        <f t="shared" si="40"/>
        <v>0</v>
      </c>
      <c r="CJ729" s="1469"/>
      <c r="CK729" s="1462">
        <f t="shared" si="18"/>
        <v>0</v>
      </c>
      <c r="CL729" s="1463"/>
      <c r="CM729" s="1468">
        <f t="shared" si="19"/>
        <v>0</v>
      </c>
      <c r="CN729" s="1469"/>
      <c r="CO729" s="3"/>
      <c r="CP729" s="1457">
        <f t="shared" si="20"/>
        <v>0</v>
      </c>
      <c r="CQ729" s="1458"/>
      <c r="CR729" s="1458"/>
      <c r="CS729" s="1458"/>
      <c r="CT729" s="1459"/>
      <c r="CU729" s="1442">
        <f t="shared" si="21"/>
        <v>0</v>
      </c>
      <c r="CV729" s="1442"/>
      <c r="CW729" s="1442"/>
      <c r="CX729" s="1442"/>
      <c r="CY729" s="1442"/>
      <c r="CZ729" s="1442">
        <f t="shared" si="22"/>
        <v>0</v>
      </c>
      <c r="DA729" s="1442"/>
      <c r="DB729" s="1442"/>
      <c r="DC729" s="1442"/>
      <c r="DD729" s="1442"/>
      <c r="DE729" s="1442">
        <f t="shared" si="23"/>
        <v>0</v>
      </c>
      <c r="DF729" s="1442"/>
      <c r="DG729" s="1442"/>
      <c r="DH729" s="1442"/>
      <c r="DI729" s="1442"/>
      <c r="DJ729" s="1442">
        <f t="shared" si="24"/>
        <v>0</v>
      </c>
      <c r="DK729" s="1442"/>
      <c r="DL729" s="1442"/>
      <c r="DM729" s="1442"/>
      <c r="DN729" s="1442"/>
      <c r="DO729" s="1442">
        <f t="shared" si="25"/>
        <v>0</v>
      </c>
      <c r="DP729" s="1442"/>
      <c r="DQ729" s="1442"/>
      <c r="DR729" s="1442"/>
      <c r="DS729" s="1442"/>
      <c r="DT729" s="6"/>
      <c r="DU729" s="1443">
        <f t="shared" si="26"/>
        <v>0</v>
      </c>
      <c r="DV729" s="1443"/>
      <c r="DW729" s="1443"/>
      <c r="DX729" s="1443"/>
      <c r="DY729" s="1443"/>
      <c r="DZ729" s="1443">
        <f t="shared" si="27"/>
        <v>0</v>
      </c>
      <c r="EA729" s="1443"/>
      <c r="EB729" s="1443"/>
      <c r="EC729" s="1443"/>
      <c r="ED729" s="1443"/>
      <c r="EE729" s="1443">
        <f t="shared" si="28"/>
        <v>0</v>
      </c>
      <c r="EF729" s="1443"/>
      <c r="EG729" s="1443"/>
      <c r="EH729" s="1443"/>
      <c r="EI729" s="1443"/>
      <c r="EJ729" s="1443">
        <f t="shared" si="29"/>
        <v>0</v>
      </c>
      <c r="EK729" s="1443"/>
      <c r="EL729" s="1443"/>
      <c r="EM729" s="1443"/>
      <c r="EN729" s="1443"/>
      <c r="EO729" s="1443">
        <f t="shared" si="30"/>
        <v>0</v>
      </c>
      <c r="EP729" s="1443"/>
      <c r="EQ729" s="1443"/>
      <c r="ER729" s="1443"/>
      <c r="ES729" s="1443"/>
      <c r="ET729" s="1443">
        <f t="shared" si="31"/>
        <v>0</v>
      </c>
      <c r="EU729" s="1443"/>
      <c r="EV729" s="1443"/>
      <c r="EW729" s="1443"/>
      <c r="EX729" s="1443"/>
      <c r="EZ729" s="1462" t="str">
        <f t="shared" si="32"/>
        <v/>
      </c>
      <c r="FA729" s="1464"/>
      <c r="FB729" s="1464"/>
      <c r="FC729" s="1464"/>
      <c r="FD729" s="1463"/>
      <c r="FE729" s="1462" t="str">
        <f t="shared" si="33"/>
        <v/>
      </c>
      <c r="FF729" s="1464"/>
      <c r="FG729" s="1464"/>
      <c r="FH729" s="1464"/>
      <c r="FI729" s="1463"/>
      <c r="FJ729" s="1462" t="str">
        <f t="shared" si="34"/>
        <v/>
      </c>
      <c r="FK729" s="1464"/>
      <c r="FL729" s="1464"/>
      <c r="FM729" s="1464"/>
      <c r="FN729" s="1463"/>
      <c r="FO729" s="1462" t="str">
        <f t="shared" si="35"/>
        <v/>
      </c>
      <c r="FP729" s="1464"/>
      <c r="FQ729" s="1464"/>
      <c r="FR729" s="1464"/>
      <c r="FS729" s="1463"/>
      <c r="FT729" s="1462" t="str">
        <f t="shared" si="36"/>
        <v/>
      </c>
      <c r="FU729" s="1464"/>
      <c r="FV729" s="1464"/>
      <c r="FW729" s="1464"/>
      <c r="FX729" s="1463"/>
      <c r="FY729" s="1462" t="str">
        <f t="shared" si="37"/>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10"/>
        <v>0</v>
      </c>
      <c r="Y730" s="1353"/>
      <c r="Z730" s="1353"/>
      <c r="AA730" s="1353"/>
      <c r="AB730" s="1354"/>
      <c r="AC730" s="1359"/>
      <c r="AD730" s="1360"/>
      <c r="AE730" s="1360"/>
      <c r="AF730" s="1360"/>
      <c r="AG730" s="1361"/>
      <c r="AH730" s="1355" t="str">
        <f t="shared" si="38"/>
        <v/>
      </c>
      <c r="AI730" s="1356"/>
      <c r="AJ730" s="1357"/>
      <c r="AK730" s="1337" t="s">
        <v>590</v>
      </c>
      <c r="AL730" s="1338"/>
      <c r="AM730" s="1338"/>
      <c r="AN730" s="1338"/>
      <c r="AO730" s="1339"/>
      <c r="AP730" s="3"/>
      <c r="AQ730" s="3"/>
      <c r="AR730" s="3"/>
      <c r="AS730" s="3"/>
      <c r="AY730" s="1085"/>
      <c r="AZ730" s="118" t="str">
        <f t="shared" si="11"/>
        <v>N/A</v>
      </c>
      <c r="BA730" s="3"/>
      <c r="BB730" s="3"/>
      <c r="BC730" s="3"/>
      <c r="BD730" s="3"/>
      <c r="BE730" s="204"/>
      <c r="BF730" s="294">
        <f t="shared" si="12"/>
        <v>0</v>
      </c>
      <c r="BG730" s="297">
        <f t="shared" si="13"/>
        <v>0</v>
      </c>
      <c r="BH730" s="298" t="str">
        <f t="shared" si="14"/>
        <v/>
      </c>
      <c r="BI730" s="3"/>
      <c r="BJ730" s="3"/>
      <c r="BK730" s="3"/>
      <c r="BL730" s="3"/>
      <c r="BM730" s="3"/>
      <c r="BN730" s="3"/>
      <c r="BS730" s="294">
        <f t="shared" si="15"/>
        <v>0</v>
      </c>
      <c r="BT730" s="297">
        <f t="shared" si="16"/>
        <v>0</v>
      </c>
      <c r="BU730" s="298" t="str">
        <f t="shared" si="17"/>
        <v/>
      </c>
      <c r="BV730" s="3"/>
      <c r="BW730" s="3"/>
      <c r="BX730" s="3"/>
      <c r="BY730" s="3"/>
      <c r="BZ730" s="3"/>
      <c r="CA730" s="3"/>
      <c r="CB730" s="3"/>
      <c r="CC730" s="3"/>
      <c r="CE730" s="3"/>
      <c r="CF730" s="3"/>
      <c r="CG730" s="1462">
        <f t="shared" si="39"/>
        <v>0</v>
      </c>
      <c r="CH730" s="1463"/>
      <c r="CI730" s="1468">
        <f t="shared" si="40"/>
        <v>0</v>
      </c>
      <c r="CJ730" s="1469"/>
      <c r="CK730" s="1462">
        <f t="shared" si="18"/>
        <v>0</v>
      </c>
      <c r="CL730" s="1463"/>
      <c r="CM730" s="1468">
        <f t="shared" si="19"/>
        <v>0</v>
      </c>
      <c r="CN730" s="1469"/>
      <c r="CO730" s="3"/>
      <c r="CP730" s="1457">
        <f t="shared" si="20"/>
        <v>0</v>
      </c>
      <c r="CQ730" s="1458"/>
      <c r="CR730" s="1458"/>
      <c r="CS730" s="1458"/>
      <c r="CT730" s="1459"/>
      <c r="CU730" s="1442">
        <f t="shared" si="21"/>
        <v>0</v>
      </c>
      <c r="CV730" s="1442"/>
      <c r="CW730" s="1442"/>
      <c r="CX730" s="1442"/>
      <c r="CY730" s="1442"/>
      <c r="CZ730" s="1442">
        <f t="shared" si="22"/>
        <v>0</v>
      </c>
      <c r="DA730" s="1442"/>
      <c r="DB730" s="1442"/>
      <c r="DC730" s="1442"/>
      <c r="DD730" s="1442"/>
      <c r="DE730" s="1442">
        <f t="shared" si="23"/>
        <v>0</v>
      </c>
      <c r="DF730" s="1442"/>
      <c r="DG730" s="1442"/>
      <c r="DH730" s="1442"/>
      <c r="DI730" s="1442"/>
      <c r="DJ730" s="1442">
        <f t="shared" si="24"/>
        <v>0</v>
      </c>
      <c r="DK730" s="1442"/>
      <c r="DL730" s="1442"/>
      <c r="DM730" s="1442"/>
      <c r="DN730" s="1442"/>
      <c r="DO730" s="1442">
        <f t="shared" si="25"/>
        <v>0</v>
      </c>
      <c r="DP730" s="1442"/>
      <c r="DQ730" s="1442"/>
      <c r="DR730" s="1442"/>
      <c r="DS730" s="1442"/>
      <c r="DT730" s="6"/>
      <c r="DU730" s="1443">
        <f t="shared" si="26"/>
        <v>0</v>
      </c>
      <c r="DV730" s="1443"/>
      <c r="DW730" s="1443"/>
      <c r="DX730" s="1443"/>
      <c r="DY730" s="1443"/>
      <c r="DZ730" s="1443">
        <f t="shared" si="27"/>
        <v>0</v>
      </c>
      <c r="EA730" s="1443"/>
      <c r="EB730" s="1443"/>
      <c r="EC730" s="1443"/>
      <c r="ED730" s="1443"/>
      <c r="EE730" s="1443">
        <f t="shared" si="28"/>
        <v>0</v>
      </c>
      <c r="EF730" s="1443"/>
      <c r="EG730" s="1443"/>
      <c r="EH730" s="1443"/>
      <c r="EI730" s="1443"/>
      <c r="EJ730" s="1443">
        <f t="shared" si="29"/>
        <v>0</v>
      </c>
      <c r="EK730" s="1443"/>
      <c r="EL730" s="1443"/>
      <c r="EM730" s="1443"/>
      <c r="EN730" s="1443"/>
      <c r="EO730" s="1443">
        <f t="shared" si="30"/>
        <v>0</v>
      </c>
      <c r="EP730" s="1443"/>
      <c r="EQ730" s="1443"/>
      <c r="ER730" s="1443"/>
      <c r="ES730" s="1443"/>
      <c r="ET730" s="1443">
        <f t="shared" si="31"/>
        <v>0</v>
      </c>
      <c r="EU730" s="1443"/>
      <c r="EV730" s="1443"/>
      <c r="EW730" s="1443"/>
      <c r="EX730" s="1443"/>
      <c r="EZ730" s="1462" t="str">
        <f t="shared" si="32"/>
        <v/>
      </c>
      <c r="FA730" s="1464"/>
      <c r="FB730" s="1464"/>
      <c r="FC730" s="1464"/>
      <c r="FD730" s="1463"/>
      <c r="FE730" s="1462" t="str">
        <f t="shared" si="33"/>
        <v/>
      </c>
      <c r="FF730" s="1464"/>
      <c r="FG730" s="1464"/>
      <c r="FH730" s="1464"/>
      <c r="FI730" s="1463"/>
      <c r="FJ730" s="1462" t="str">
        <f t="shared" si="34"/>
        <v/>
      </c>
      <c r="FK730" s="1464"/>
      <c r="FL730" s="1464"/>
      <c r="FM730" s="1464"/>
      <c r="FN730" s="1463"/>
      <c r="FO730" s="1462" t="str">
        <f t="shared" si="35"/>
        <v/>
      </c>
      <c r="FP730" s="1464"/>
      <c r="FQ730" s="1464"/>
      <c r="FR730" s="1464"/>
      <c r="FS730" s="1463"/>
      <c r="FT730" s="1462" t="str">
        <f t="shared" si="36"/>
        <v/>
      </c>
      <c r="FU730" s="1464"/>
      <c r="FV730" s="1464"/>
      <c r="FW730" s="1464"/>
      <c r="FX730" s="1463"/>
      <c r="FY730" s="1462" t="str">
        <f t="shared" si="37"/>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10"/>
        <v>0</v>
      </c>
      <c r="Y731" s="1353"/>
      <c r="Z731" s="1353"/>
      <c r="AA731" s="1353"/>
      <c r="AB731" s="1354"/>
      <c r="AC731" s="1359"/>
      <c r="AD731" s="1360"/>
      <c r="AE731" s="1360"/>
      <c r="AF731" s="1360"/>
      <c r="AG731" s="1361"/>
      <c r="AH731" s="1355" t="str">
        <f t="shared" si="38"/>
        <v/>
      </c>
      <c r="AI731" s="1356"/>
      <c r="AJ731" s="1357"/>
      <c r="AK731" s="1337" t="s">
        <v>590</v>
      </c>
      <c r="AL731" s="1338"/>
      <c r="AM731" s="1338"/>
      <c r="AN731" s="1338"/>
      <c r="AO731" s="1339"/>
      <c r="AP731" s="3"/>
      <c r="AQ731" s="3"/>
      <c r="AR731" s="3"/>
      <c r="AS731" s="3"/>
      <c r="AY731" s="1085"/>
      <c r="AZ731" s="118" t="str">
        <f t="shared" si="11"/>
        <v>N/A</v>
      </c>
      <c r="BA731" s="3"/>
      <c r="BB731" s="3"/>
      <c r="BC731" s="3"/>
      <c r="BD731" s="3"/>
      <c r="BE731" s="204"/>
      <c r="BF731" s="294">
        <f t="shared" si="12"/>
        <v>0</v>
      </c>
      <c r="BG731" s="297">
        <f t="shared" si="13"/>
        <v>0</v>
      </c>
      <c r="BH731" s="298" t="str">
        <f t="shared" si="14"/>
        <v/>
      </c>
      <c r="BI731" s="3"/>
      <c r="BJ731" s="3"/>
      <c r="BK731" s="3"/>
      <c r="BL731" s="3"/>
      <c r="BM731" s="3"/>
      <c r="BN731" s="3"/>
      <c r="BS731" s="294">
        <f t="shared" si="15"/>
        <v>0</v>
      </c>
      <c r="BT731" s="297">
        <f t="shared" si="16"/>
        <v>0</v>
      </c>
      <c r="BU731" s="298" t="str">
        <f t="shared" si="17"/>
        <v/>
      </c>
      <c r="BV731" s="3"/>
      <c r="BW731" s="3"/>
      <c r="BX731" s="3"/>
      <c r="BY731" s="3"/>
      <c r="BZ731" s="3"/>
      <c r="CA731" s="3"/>
      <c r="CB731" s="3"/>
      <c r="CC731" s="3"/>
      <c r="CE731" s="3"/>
      <c r="CF731" s="3"/>
      <c r="CG731" s="1462">
        <f t="shared" si="39"/>
        <v>0</v>
      </c>
      <c r="CH731" s="1463"/>
      <c r="CI731" s="1468">
        <f t="shared" si="40"/>
        <v>0</v>
      </c>
      <c r="CJ731" s="1469"/>
      <c r="CK731" s="1462">
        <f t="shared" si="18"/>
        <v>0</v>
      </c>
      <c r="CL731" s="1463"/>
      <c r="CM731" s="1468">
        <f t="shared" si="19"/>
        <v>0</v>
      </c>
      <c r="CN731" s="1469"/>
      <c r="CO731" s="3"/>
      <c r="CP731" s="1457">
        <f t="shared" si="20"/>
        <v>0</v>
      </c>
      <c r="CQ731" s="1458"/>
      <c r="CR731" s="1458"/>
      <c r="CS731" s="1458"/>
      <c r="CT731" s="1459"/>
      <c r="CU731" s="1442">
        <f t="shared" si="21"/>
        <v>0</v>
      </c>
      <c r="CV731" s="1442"/>
      <c r="CW731" s="1442"/>
      <c r="CX731" s="1442"/>
      <c r="CY731" s="1442"/>
      <c r="CZ731" s="1442">
        <f t="shared" si="22"/>
        <v>0</v>
      </c>
      <c r="DA731" s="1442"/>
      <c r="DB731" s="1442"/>
      <c r="DC731" s="1442"/>
      <c r="DD731" s="1442"/>
      <c r="DE731" s="1442">
        <f t="shared" si="23"/>
        <v>0</v>
      </c>
      <c r="DF731" s="1442"/>
      <c r="DG731" s="1442"/>
      <c r="DH731" s="1442"/>
      <c r="DI731" s="1442"/>
      <c r="DJ731" s="1442">
        <f t="shared" si="24"/>
        <v>0</v>
      </c>
      <c r="DK731" s="1442"/>
      <c r="DL731" s="1442"/>
      <c r="DM731" s="1442"/>
      <c r="DN731" s="1442"/>
      <c r="DO731" s="1442">
        <f t="shared" si="25"/>
        <v>0</v>
      </c>
      <c r="DP731" s="1442"/>
      <c r="DQ731" s="1442"/>
      <c r="DR731" s="1442"/>
      <c r="DS731" s="1442"/>
      <c r="DT731" s="6"/>
      <c r="DU731" s="1443">
        <f t="shared" si="26"/>
        <v>0</v>
      </c>
      <c r="DV731" s="1443"/>
      <c r="DW731" s="1443"/>
      <c r="DX731" s="1443"/>
      <c r="DY731" s="1443"/>
      <c r="DZ731" s="1443">
        <f t="shared" si="27"/>
        <v>0</v>
      </c>
      <c r="EA731" s="1443"/>
      <c r="EB731" s="1443"/>
      <c r="EC731" s="1443"/>
      <c r="ED731" s="1443"/>
      <c r="EE731" s="1443">
        <f t="shared" si="28"/>
        <v>0</v>
      </c>
      <c r="EF731" s="1443"/>
      <c r="EG731" s="1443"/>
      <c r="EH731" s="1443"/>
      <c r="EI731" s="1443"/>
      <c r="EJ731" s="1443">
        <f t="shared" si="29"/>
        <v>0</v>
      </c>
      <c r="EK731" s="1443"/>
      <c r="EL731" s="1443"/>
      <c r="EM731" s="1443"/>
      <c r="EN731" s="1443"/>
      <c r="EO731" s="1443">
        <f t="shared" si="30"/>
        <v>0</v>
      </c>
      <c r="EP731" s="1443"/>
      <c r="EQ731" s="1443"/>
      <c r="ER731" s="1443"/>
      <c r="ES731" s="1443"/>
      <c r="ET731" s="1443">
        <f t="shared" si="31"/>
        <v>0</v>
      </c>
      <c r="EU731" s="1443"/>
      <c r="EV731" s="1443"/>
      <c r="EW731" s="1443"/>
      <c r="EX731" s="1443"/>
      <c r="EZ731" s="1462" t="str">
        <f t="shared" si="32"/>
        <v/>
      </c>
      <c r="FA731" s="1464"/>
      <c r="FB731" s="1464"/>
      <c r="FC731" s="1464"/>
      <c r="FD731" s="1463"/>
      <c r="FE731" s="1462" t="str">
        <f t="shared" si="33"/>
        <v/>
      </c>
      <c r="FF731" s="1464"/>
      <c r="FG731" s="1464"/>
      <c r="FH731" s="1464"/>
      <c r="FI731" s="1463"/>
      <c r="FJ731" s="1462" t="str">
        <f t="shared" si="34"/>
        <v/>
      </c>
      <c r="FK731" s="1464"/>
      <c r="FL731" s="1464"/>
      <c r="FM731" s="1464"/>
      <c r="FN731" s="1463"/>
      <c r="FO731" s="1462" t="str">
        <f t="shared" si="35"/>
        <v/>
      </c>
      <c r="FP731" s="1464"/>
      <c r="FQ731" s="1464"/>
      <c r="FR731" s="1464"/>
      <c r="FS731" s="1463"/>
      <c r="FT731" s="1462" t="str">
        <f t="shared" si="36"/>
        <v/>
      </c>
      <c r="FU731" s="1464"/>
      <c r="FV731" s="1464"/>
      <c r="FW731" s="1464"/>
      <c r="FX731" s="1463"/>
      <c r="FY731" s="1462" t="str">
        <f t="shared" si="37"/>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10"/>
        <v>0</v>
      </c>
      <c r="Y732" s="1353"/>
      <c r="Z732" s="1353"/>
      <c r="AA732" s="1353"/>
      <c r="AB732" s="1354"/>
      <c r="AC732" s="1359"/>
      <c r="AD732" s="1360"/>
      <c r="AE732" s="1360"/>
      <c r="AF732" s="1360"/>
      <c r="AG732" s="1361"/>
      <c r="AH732" s="1355" t="str">
        <f t="shared" si="38"/>
        <v/>
      </c>
      <c r="AI732" s="1356"/>
      <c r="AJ732" s="1357"/>
      <c r="AK732" s="1337" t="s">
        <v>590</v>
      </c>
      <c r="AL732" s="1338"/>
      <c r="AM732" s="1338"/>
      <c r="AN732" s="1338"/>
      <c r="AO732" s="1339"/>
      <c r="AP732" s="3"/>
      <c r="AQ732" s="3"/>
      <c r="AR732" s="3"/>
      <c r="AS732" s="3"/>
      <c r="AY732" s="1085"/>
      <c r="AZ732" s="118" t="str">
        <f t="shared" si="11"/>
        <v>N/A</v>
      </c>
      <c r="BA732" s="3"/>
      <c r="BB732" s="3"/>
      <c r="BC732" s="3"/>
      <c r="BD732" s="3"/>
      <c r="BE732" s="204"/>
      <c r="BF732" s="294">
        <f t="shared" si="12"/>
        <v>0</v>
      </c>
      <c r="BG732" s="297">
        <f t="shared" si="13"/>
        <v>0</v>
      </c>
      <c r="BH732" s="298" t="str">
        <f t="shared" si="14"/>
        <v/>
      </c>
      <c r="BI732" s="3"/>
      <c r="BJ732" s="3"/>
      <c r="BK732" s="3"/>
      <c r="BL732" s="3"/>
      <c r="BM732" s="3"/>
      <c r="BN732" s="3"/>
      <c r="BS732" s="294">
        <f t="shared" si="15"/>
        <v>0</v>
      </c>
      <c r="BT732" s="297">
        <f t="shared" si="16"/>
        <v>0</v>
      </c>
      <c r="BU732" s="298" t="str">
        <f t="shared" si="17"/>
        <v/>
      </c>
      <c r="BV732" s="3"/>
      <c r="BW732" s="3"/>
      <c r="BX732" s="3"/>
      <c r="BY732" s="3"/>
      <c r="BZ732" s="3"/>
      <c r="CA732" s="3"/>
      <c r="CB732" s="3"/>
      <c r="CC732" s="3"/>
      <c r="CE732" s="3"/>
      <c r="CF732" s="3"/>
      <c r="CG732" s="1462">
        <f t="shared" si="39"/>
        <v>0</v>
      </c>
      <c r="CH732" s="1463"/>
      <c r="CI732" s="1468">
        <f t="shared" si="40"/>
        <v>0</v>
      </c>
      <c r="CJ732" s="1469"/>
      <c r="CK732" s="1462">
        <f t="shared" si="18"/>
        <v>0</v>
      </c>
      <c r="CL732" s="1463"/>
      <c r="CM732" s="1468">
        <f t="shared" si="19"/>
        <v>0</v>
      </c>
      <c r="CN732" s="1469"/>
      <c r="CO732" s="3"/>
      <c r="CP732" s="1457">
        <f t="shared" si="20"/>
        <v>0</v>
      </c>
      <c r="CQ732" s="1458"/>
      <c r="CR732" s="1458"/>
      <c r="CS732" s="1458"/>
      <c r="CT732" s="1459"/>
      <c r="CU732" s="1442">
        <f t="shared" si="21"/>
        <v>0</v>
      </c>
      <c r="CV732" s="1442"/>
      <c r="CW732" s="1442"/>
      <c r="CX732" s="1442"/>
      <c r="CY732" s="1442"/>
      <c r="CZ732" s="1442">
        <f t="shared" si="22"/>
        <v>0</v>
      </c>
      <c r="DA732" s="1442"/>
      <c r="DB732" s="1442"/>
      <c r="DC732" s="1442"/>
      <c r="DD732" s="1442"/>
      <c r="DE732" s="1442">
        <f t="shared" si="23"/>
        <v>0</v>
      </c>
      <c r="DF732" s="1442"/>
      <c r="DG732" s="1442"/>
      <c r="DH732" s="1442"/>
      <c r="DI732" s="1442"/>
      <c r="DJ732" s="1442">
        <f t="shared" si="24"/>
        <v>0</v>
      </c>
      <c r="DK732" s="1442"/>
      <c r="DL732" s="1442"/>
      <c r="DM732" s="1442"/>
      <c r="DN732" s="1442"/>
      <c r="DO732" s="1442">
        <f t="shared" si="25"/>
        <v>0</v>
      </c>
      <c r="DP732" s="1442"/>
      <c r="DQ732" s="1442"/>
      <c r="DR732" s="1442"/>
      <c r="DS732" s="1442"/>
      <c r="DT732" s="6"/>
      <c r="DU732" s="1443">
        <f t="shared" si="26"/>
        <v>0</v>
      </c>
      <c r="DV732" s="1443"/>
      <c r="DW732" s="1443"/>
      <c r="DX732" s="1443"/>
      <c r="DY732" s="1443"/>
      <c r="DZ732" s="1443">
        <f t="shared" si="27"/>
        <v>0</v>
      </c>
      <c r="EA732" s="1443"/>
      <c r="EB732" s="1443"/>
      <c r="EC732" s="1443"/>
      <c r="ED732" s="1443"/>
      <c r="EE732" s="1443">
        <f t="shared" si="28"/>
        <v>0</v>
      </c>
      <c r="EF732" s="1443"/>
      <c r="EG732" s="1443"/>
      <c r="EH732" s="1443"/>
      <c r="EI732" s="1443"/>
      <c r="EJ732" s="1443">
        <f t="shared" si="29"/>
        <v>0</v>
      </c>
      <c r="EK732" s="1443"/>
      <c r="EL732" s="1443"/>
      <c r="EM732" s="1443"/>
      <c r="EN732" s="1443"/>
      <c r="EO732" s="1443">
        <f t="shared" si="30"/>
        <v>0</v>
      </c>
      <c r="EP732" s="1443"/>
      <c r="EQ732" s="1443"/>
      <c r="ER732" s="1443"/>
      <c r="ES732" s="1443"/>
      <c r="ET732" s="1443">
        <f t="shared" si="31"/>
        <v>0</v>
      </c>
      <c r="EU732" s="1443"/>
      <c r="EV732" s="1443"/>
      <c r="EW732" s="1443"/>
      <c r="EX732" s="1443"/>
      <c r="EZ732" s="1462" t="str">
        <f t="shared" si="32"/>
        <v/>
      </c>
      <c r="FA732" s="1464"/>
      <c r="FB732" s="1464"/>
      <c r="FC732" s="1464"/>
      <c r="FD732" s="1463"/>
      <c r="FE732" s="1462" t="str">
        <f t="shared" si="33"/>
        <v/>
      </c>
      <c r="FF732" s="1464"/>
      <c r="FG732" s="1464"/>
      <c r="FH732" s="1464"/>
      <c r="FI732" s="1463"/>
      <c r="FJ732" s="1462" t="str">
        <f t="shared" si="34"/>
        <v/>
      </c>
      <c r="FK732" s="1464"/>
      <c r="FL732" s="1464"/>
      <c r="FM732" s="1464"/>
      <c r="FN732" s="1463"/>
      <c r="FO732" s="1462" t="str">
        <f t="shared" si="35"/>
        <v/>
      </c>
      <c r="FP732" s="1464"/>
      <c r="FQ732" s="1464"/>
      <c r="FR732" s="1464"/>
      <c r="FS732" s="1463"/>
      <c r="FT732" s="1462" t="str">
        <f t="shared" si="36"/>
        <v/>
      </c>
      <c r="FU732" s="1464"/>
      <c r="FV732" s="1464"/>
      <c r="FW732" s="1464"/>
      <c r="FX732" s="1463"/>
      <c r="FY732" s="1462" t="str">
        <f t="shared" si="37"/>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10"/>
        <v>0</v>
      </c>
      <c r="Y733" s="1353"/>
      <c r="Z733" s="1353"/>
      <c r="AA733" s="1353"/>
      <c r="AB733" s="1354"/>
      <c r="AC733" s="1359"/>
      <c r="AD733" s="1360"/>
      <c r="AE733" s="1360"/>
      <c r="AF733" s="1360"/>
      <c r="AG733" s="1361"/>
      <c r="AH733" s="1355" t="str">
        <f t="shared" si="38"/>
        <v/>
      </c>
      <c r="AI733" s="1356"/>
      <c r="AJ733" s="1357"/>
      <c r="AK733" s="1337" t="s">
        <v>590</v>
      </c>
      <c r="AL733" s="1338"/>
      <c r="AM733" s="1338"/>
      <c r="AN733" s="1338"/>
      <c r="AO733" s="1339"/>
      <c r="AP733" s="3"/>
      <c r="AQ733" s="3"/>
      <c r="AR733" s="3"/>
      <c r="AS733" s="3"/>
      <c r="AY733" s="1085"/>
      <c r="AZ733" s="118" t="str">
        <f t="shared" si="11"/>
        <v>N/A</v>
      </c>
      <c r="BA733" s="3"/>
      <c r="BB733" s="3"/>
      <c r="BC733" s="3"/>
      <c r="BD733" s="3"/>
      <c r="BE733" s="204"/>
      <c r="BF733" s="294">
        <f t="shared" si="12"/>
        <v>0</v>
      </c>
      <c r="BG733" s="297">
        <f t="shared" si="13"/>
        <v>0</v>
      </c>
      <c r="BH733" s="298" t="str">
        <f t="shared" si="14"/>
        <v/>
      </c>
      <c r="BI733" s="3"/>
      <c r="BJ733" s="3"/>
      <c r="BK733" s="3"/>
      <c r="BL733" s="3"/>
      <c r="BM733" s="3"/>
      <c r="BN733" s="3"/>
      <c r="BS733" s="294">
        <f t="shared" si="15"/>
        <v>0</v>
      </c>
      <c r="BT733" s="297">
        <f t="shared" si="16"/>
        <v>0</v>
      </c>
      <c r="BU733" s="298" t="str">
        <f t="shared" si="17"/>
        <v/>
      </c>
      <c r="BV733" s="3"/>
      <c r="BW733" s="3"/>
      <c r="BX733" s="3"/>
      <c r="BY733" s="3"/>
      <c r="BZ733" s="3"/>
      <c r="CA733" s="3"/>
      <c r="CB733" s="3"/>
      <c r="CC733" s="3"/>
      <c r="CE733" s="3"/>
      <c r="CF733" s="3"/>
      <c r="CG733" s="1462">
        <f t="shared" si="39"/>
        <v>0</v>
      </c>
      <c r="CH733" s="1463"/>
      <c r="CI733" s="1468">
        <f t="shared" si="40"/>
        <v>0</v>
      </c>
      <c r="CJ733" s="1469"/>
      <c r="CK733" s="1462">
        <f t="shared" si="18"/>
        <v>0</v>
      </c>
      <c r="CL733" s="1463"/>
      <c r="CM733" s="1468">
        <f t="shared" si="19"/>
        <v>0</v>
      </c>
      <c r="CN733" s="1469"/>
      <c r="CO733" s="3"/>
      <c r="CP733" s="1457">
        <f t="shared" si="20"/>
        <v>0</v>
      </c>
      <c r="CQ733" s="1458"/>
      <c r="CR733" s="1458"/>
      <c r="CS733" s="1458"/>
      <c r="CT733" s="1459"/>
      <c r="CU733" s="1442">
        <f t="shared" si="21"/>
        <v>0</v>
      </c>
      <c r="CV733" s="1442"/>
      <c r="CW733" s="1442"/>
      <c r="CX733" s="1442"/>
      <c r="CY733" s="1442"/>
      <c r="CZ733" s="1442">
        <f t="shared" si="22"/>
        <v>0</v>
      </c>
      <c r="DA733" s="1442"/>
      <c r="DB733" s="1442"/>
      <c r="DC733" s="1442"/>
      <c r="DD733" s="1442"/>
      <c r="DE733" s="1442">
        <f t="shared" si="23"/>
        <v>0</v>
      </c>
      <c r="DF733" s="1442"/>
      <c r="DG733" s="1442"/>
      <c r="DH733" s="1442"/>
      <c r="DI733" s="1442"/>
      <c r="DJ733" s="1442">
        <f t="shared" si="24"/>
        <v>0</v>
      </c>
      <c r="DK733" s="1442"/>
      <c r="DL733" s="1442"/>
      <c r="DM733" s="1442"/>
      <c r="DN733" s="1442"/>
      <c r="DO733" s="1442">
        <f t="shared" si="25"/>
        <v>0</v>
      </c>
      <c r="DP733" s="1442"/>
      <c r="DQ733" s="1442"/>
      <c r="DR733" s="1442"/>
      <c r="DS733" s="1442"/>
      <c r="DT733" s="6"/>
      <c r="DU733" s="1443">
        <f t="shared" si="26"/>
        <v>0</v>
      </c>
      <c r="DV733" s="1443"/>
      <c r="DW733" s="1443"/>
      <c r="DX733" s="1443"/>
      <c r="DY733" s="1443"/>
      <c r="DZ733" s="1443">
        <f t="shared" si="27"/>
        <v>0</v>
      </c>
      <c r="EA733" s="1443"/>
      <c r="EB733" s="1443"/>
      <c r="EC733" s="1443"/>
      <c r="ED733" s="1443"/>
      <c r="EE733" s="1443">
        <f t="shared" si="28"/>
        <v>0</v>
      </c>
      <c r="EF733" s="1443"/>
      <c r="EG733" s="1443"/>
      <c r="EH733" s="1443"/>
      <c r="EI733" s="1443"/>
      <c r="EJ733" s="1443">
        <f t="shared" si="29"/>
        <v>0</v>
      </c>
      <c r="EK733" s="1443"/>
      <c r="EL733" s="1443"/>
      <c r="EM733" s="1443"/>
      <c r="EN733" s="1443"/>
      <c r="EO733" s="1443">
        <f t="shared" si="30"/>
        <v>0</v>
      </c>
      <c r="EP733" s="1443"/>
      <c r="EQ733" s="1443"/>
      <c r="ER733" s="1443"/>
      <c r="ES733" s="1443"/>
      <c r="ET733" s="1443">
        <f t="shared" si="31"/>
        <v>0</v>
      </c>
      <c r="EU733" s="1443"/>
      <c r="EV733" s="1443"/>
      <c r="EW733" s="1443"/>
      <c r="EX733" s="1443"/>
      <c r="EZ733" s="1462" t="str">
        <f t="shared" si="32"/>
        <v/>
      </c>
      <c r="FA733" s="1464"/>
      <c r="FB733" s="1464"/>
      <c r="FC733" s="1464"/>
      <c r="FD733" s="1463"/>
      <c r="FE733" s="1462" t="str">
        <f t="shared" si="33"/>
        <v/>
      </c>
      <c r="FF733" s="1464"/>
      <c r="FG733" s="1464"/>
      <c r="FH733" s="1464"/>
      <c r="FI733" s="1463"/>
      <c r="FJ733" s="1462" t="str">
        <f t="shared" si="34"/>
        <v/>
      </c>
      <c r="FK733" s="1464"/>
      <c r="FL733" s="1464"/>
      <c r="FM733" s="1464"/>
      <c r="FN733" s="1463"/>
      <c r="FO733" s="1462" t="str">
        <f t="shared" si="35"/>
        <v/>
      </c>
      <c r="FP733" s="1464"/>
      <c r="FQ733" s="1464"/>
      <c r="FR733" s="1464"/>
      <c r="FS733" s="1463"/>
      <c r="FT733" s="1462" t="str">
        <f t="shared" si="36"/>
        <v/>
      </c>
      <c r="FU733" s="1464"/>
      <c r="FV733" s="1464"/>
      <c r="FW733" s="1464"/>
      <c r="FX733" s="1463"/>
      <c r="FY733" s="1462" t="str">
        <f t="shared" si="37"/>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10"/>
        <v>0</v>
      </c>
      <c r="Y734" s="1353"/>
      <c r="Z734" s="1353"/>
      <c r="AA734" s="1353"/>
      <c r="AB734" s="1354"/>
      <c r="AC734" s="1359"/>
      <c r="AD734" s="1360"/>
      <c r="AE734" s="1360"/>
      <c r="AF734" s="1360"/>
      <c r="AG734" s="1361"/>
      <c r="AH734" s="1355" t="str">
        <f t="shared" si="38"/>
        <v/>
      </c>
      <c r="AI734" s="1356"/>
      <c r="AJ734" s="1357"/>
      <c r="AK734" s="1337" t="s">
        <v>590</v>
      </c>
      <c r="AL734" s="1338"/>
      <c r="AM734" s="1338"/>
      <c r="AN734" s="1338"/>
      <c r="AO734" s="1339"/>
      <c r="AP734" s="3"/>
      <c r="AQ734" s="3"/>
      <c r="AR734" s="3"/>
      <c r="AS734" s="3"/>
      <c r="AY734" s="1085"/>
      <c r="AZ734" s="118" t="str">
        <f t="shared" si="11"/>
        <v>N/A</v>
      </c>
      <c r="BA734" s="3"/>
      <c r="BB734" s="3"/>
      <c r="BC734" s="3"/>
      <c r="BD734" s="3"/>
      <c r="BE734" s="204"/>
      <c r="BF734" s="294">
        <f t="shared" si="12"/>
        <v>0</v>
      </c>
      <c r="BG734" s="297">
        <f t="shared" si="13"/>
        <v>0</v>
      </c>
      <c r="BH734" s="298" t="str">
        <f t="shared" si="14"/>
        <v/>
      </c>
      <c r="BI734" s="3"/>
      <c r="BJ734" s="3"/>
      <c r="BK734" s="3"/>
      <c r="BL734" s="3"/>
      <c r="BM734" s="3"/>
      <c r="BN734" s="3"/>
      <c r="BS734" s="294">
        <f t="shared" si="15"/>
        <v>0</v>
      </c>
      <c r="BT734" s="297">
        <f t="shared" si="16"/>
        <v>0</v>
      </c>
      <c r="BU734" s="298" t="str">
        <f t="shared" si="17"/>
        <v/>
      </c>
      <c r="BV734" s="3"/>
      <c r="BW734" s="3"/>
      <c r="BX734" s="3"/>
      <c r="BY734" s="3"/>
      <c r="BZ734" s="3"/>
      <c r="CA734" s="3"/>
      <c r="CB734" s="3"/>
      <c r="CC734" s="3"/>
      <c r="CE734" s="3"/>
      <c r="CF734" s="3"/>
      <c r="CG734" s="1462">
        <f t="shared" si="39"/>
        <v>0</v>
      </c>
      <c r="CH734" s="1463"/>
      <c r="CI734" s="1468">
        <f t="shared" si="40"/>
        <v>0</v>
      </c>
      <c r="CJ734" s="1469"/>
      <c r="CK734" s="1462">
        <f t="shared" si="18"/>
        <v>0</v>
      </c>
      <c r="CL734" s="1463"/>
      <c r="CM734" s="1468">
        <f t="shared" si="19"/>
        <v>0</v>
      </c>
      <c r="CN734" s="1469"/>
      <c r="CO734" s="3"/>
      <c r="CP734" s="1457">
        <f t="shared" si="20"/>
        <v>0</v>
      </c>
      <c r="CQ734" s="1458"/>
      <c r="CR734" s="1458"/>
      <c r="CS734" s="1458"/>
      <c r="CT734" s="1459"/>
      <c r="CU734" s="1442">
        <f t="shared" si="21"/>
        <v>0</v>
      </c>
      <c r="CV734" s="1442"/>
      <c r="CW734" s="1442"/>
      <c r="CX734" s="1442"/>
      <c r="CY734" s="1442"/>
      <c r="CZ734" s="1442">
        <f t="shared" si="22"/>
        <v>0</v>
      </c>
      <c r="DA734" s="1442"/>
      <c r="DB734" s="1442"/>
      <c r="DC734" s="1442"/>
      <c r="DD734" s="1442"/>
      <c r="DE734" s="1442">
        <f t="shared" si="23"/>
        <v>0</v>
      </c>
      <c r="DF734" s="1442"/>
      <c r="DG734" s="1442"/>
      <c r="DH734" s="1442"/>
      <c r="DI734" s="1442"/>
      <c r="DJ734" s="1442">
        <f t="shared" si="24"/>
        <v>0</v>
      </c>
      <c r="DK734" s="1442"/>
      <c r="DL734" s="1442"/>
      <c r="DM734" s="1442"/>
      <c r="DN734" s="1442"/>
      <c r="DO734" s="1442">
        <f t="shared" si="25"/>
        <v>0</v>
      </c>
      <c r="DP734" s="1442"/>
      <c r="DQ734" s="1442"/>
      <c r="DR734" s="1442"/>
      <c r="DS734" s="1442"/>
      <c r="DT734" s="6"/>
      <c r="DU734" s="1443">
        <f t="shared" si="26"/>
        <v>0</v>
      </c>
      <c r="DV734" s="1443"/>
      <c r="DW734" s="1443"/>
      <c r="DX734" s="1443"/>
      <c r="DY734" s="1443"/>
      <c r="DZ734" s="1443">
        <f t="shared" si="27"/>
        <v>0</v>
      </c>
      <c r="EA734" s="1443"/>
      <c r="EB734" s="1443"/>
      <c r="EC734" s="1443"/>
      <c r="ED734" s="1443"/>
      <c r="EE734" s="1443">
        <f t="shared" si="28"/>
        <v>0</v>
      </c>
      <c r="EF734" s="1443"/>
      <c r="EG734" s="1443"/>
      <c r="EH734" s="1443"/>
      <c r="EI734" s="1443"/>
      <c r="EJ734" s="1443">
        <f t="shared" si="29"/>
        <v>0</v>
      </c>
      <c r="EK734" s="1443"/>
      <c r="EL734" s="1443"/>
      <c r="EM734" s="1443"/>
      <c r="EN734" s="1443"/>
      <c r="EO734" s="1443">
        <f t="shared" si="30"/>
        <v>0</v>
      </c>
      <c r="EP734" s="1443"/>
      <c r="EQ734" s="1443"/>
      <c r="ER734" s="1443"/>
      <c r="ES734" s="1443"/>
      <c r="ET734" s="1443">
        <f t="shared" si="31"/>
        <v>0</v>
      </c>
      <c r="EU734" s="1443"/>
      <c r="EV734" s="1443"/>
      <c r="EW734" s="1443"/>
      <c r="EX734" s="1443"/>
      <c r="EZ734" s="1462" t="str">
        <f t="shared" si="32"/>
        <v/>
      </c>
      <c r="FA734" s="1464"/>
      <c r="FB734" s="1464"/>
      <c r="FC734" s="1464"/>
      <c r="FD734" s="1463"/>
      <c r="FE734" s="1462" t="str">
        <f t="shared" si="33"/>
        <v/>
      </c>
      <c r="FF734" s="1464"/>
      <c r="FG734" s="1464"/>
      <c r="FH734" s="1464"/>
      <c r="FI734" s="1463"/>
      <c r="FJ734" s="1462" t="str">
        <f t="shared" si="34"/>
        <v/>
      </c>
      <c r="FK734" s="1464"/>
      <c r="FL734" s="1464"/>
      <c r="FM734" s="1464"/>
      <c r="FN734" s="1463"/>
      <c r="FO734" s="1462" t="str">
        <f t="shared" si="35"/>
        <v/>
      </c>
      <c r="FP734" s="1464"/>
      <c r="FQ734" s="1464"/>
      <c r="FR734" s="1464"/>
      <c r="FS734" s="1463"/>
      <c r="FT734" s="1462" t="str">
        <f t="shared" si="36"/>
        <v/>
      </c>
      <c r="FU734" s="1464"/>
      <c r="FV734" s="1464"/>
      <c r="FW734" s="1464"/>
      <c r="FX734" s="1463"/>
      <c r="FY734" s="1462" t="str">
        <f t="shared" si="37"/>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10"/>
        <v>0</v>
      </c>
      <c r="Y735" s="1353"/>
      <c r="Z735" s="1353"/>
      <c r="AA735" s="1353"/>
      <c r="AB735" s="1354"/>
      <c r="AC735" s="1359"/>
      <c r="AD735" s="1360"/>
      <c r="AE735" s="1360"/>
      <c r="AF735" s="1360"/>
      <c r="AG735" s="1361"/>
      <c r="AH735" s="1355" t="str">
        <f t="shared" si="38"/>
        <v/>
      </c>
      <c r="AI735" s="1356"/>
      <c r="AJ735" s="1357"/>
      <c r="AK735" s="1337" t="s">
        <v>590</v>
      </c>
      <c r="AL735" s="1338"/>
      <c r="AM735" s="1338"/>
      <c r="AN735" s="1338"/>
      <c r="AO735" s="1339"/>
      <c r="AP735" s="3"/>
      <c r="AQ735" s="3"/>
      <c r="AR735" s="3"/>
      <c r="AS735" s="3"/>
      <c r="AY735" s="1085"/>
      <c r="AZ735" s="118" t="str">
        <f t="shared" si="11"/>
        <v>N/A</v>
      </c>
      <c r="BA735" s="3"/>
      <c r="BB735" s="3"/>
      <c r="BC735" s="3"/>
      <c r="BD735" s="3"/>
      <c r="BE735" s="204"/>
      <c r="BF735" s="294">
        <f t="shared" si="12"/>
        <v>0</v>
      </c>
      <c r="BG735" s="297">
        <f t="shared" si="13"/>
        <v>0</v>
      </c>
      <c r="BH735" s="298" t="str">
        <f t="shared" si="14"/>
        <v/>
      </c>
      <c r="BI735" s="3"/>
      <c r="BJ735" s="3"/>
      <c r="BK735" s="3"/>
      <c r="BL735" s="3"/>
      <c r="BM735" s="3"/>
      <c r="BN735" s="3"/>
      <c r="BS735" s="294">
        <f t="shared" si="15"/>
        <v>0</v>
      </c>
      <c r="BT735" s="297">
        <f t="shared" si="16"/>
        <v>0</v>
      </c>
      <c r="BU735" s="298" t="str">
        <f t="shared" si="17"/>
        <v/>
      </c>
      <c r="BV735" s="3"/>
      <c r="BW735" s="3"/>
      <c r="BX735" s="3"/>
      <c r="BY735" s="3"/>
      <c r="BZ735" s="3"/>
      <c r="CA735" s="3"/>
      <c r="CB735" s="3"/>
      <c r="CC735" s="3"/>
      <c r="CE735" s="3"/>
      <c r="CF735" s="3"/>
      <c r="CG735" s="1462">
        <f t="shared" si="39"/>
        <v>0</v>
      </c>
      <c r="CH735" s="1463"/>
      <c r="CI735" s="1468">
        <f t="shared" si="40"/>
        <v>0</v>
      </c>
      <c r="CJ735" s="1469"/>
      <c r="CK735" s="1462">
        <f t="shared" si="18"/>
        <v>0</v>
      </c>
      <c r="CL735" s="1463"/>
      <c r="CM735" s="1468">
        <f t="shared" si="19"/>
        <v>0</v>
      </c>
      <c r="CN735" s="1469"/>
      <c r="CO735" s="3"/>
      <c r="CP735" s="1457">
        <f t="shared" si="20"/>
        <v>0</v>
      </c>
      <c r="CQ735" s="1458"/>
      <c r="CR735" s="1458"/>
      <c r="CS735" s="1458"/>
      <c r="CT735" s="1459"/>
      <c r="CU735" s="1442">
        <f t="shared" si="21"/>
        <v>0</v>
      </c>
      <c r="CV735" s="1442"/>
      <c r="CW735" s="1442"/>
      <c r="CX735" s="1442"/>
      <c r="CY735" s="1442"/>
      <c r="CZ735" s="1442">
        <f t="shared" si="22"/>
        <v>0</v>
      </c>
      <c r="DA735" s="1442"/>
      <c r="DB735" s="1442"/>
      <c r="DC735" s="1442"/>
      <c r="DD735" s="1442"/>
      <c r="DE735" s="1442">
        <f t="shared" si="23"/>
        <v>0</v>
      </c>
      <c r="DF735" s="1442"/>
      <c r="DG735" s="1442"/>
      <c r="DH735" s="1442"/>
      <c r="DI735" s="1442"/>
      <c r="DJ735" s="1442">
        <f t="shared" si="24"/>
        <v>0</v>
      </c>
      <c r="DK735" s="1442"/>
      <c r="DL735" s="1442"/>
      <c r="DM735" s="1442"/>
      <c r="DN735" s="1442"/>
      <c r="DO735" s="1442">
        <f t="shared" si="25"/>
        <v>0</v>
      </c>
      <c r="DP735" s="1442"/>
      <c r="DQ735" s="1442"/>
      <c r="DR735" s="1442"/>
      <c r="DS735" s="1442"/>
      <c r="DT735" s="6"/>
      <c r="DU735" s="1443">
        <f t="shared" si="26"/>
        <v>0</v>
      </c>
      <c r="DV735" s="1443"/>
      <c r="DW735" s="1443"/>
      <c r="DX735" s="1443"/>
      <c r="DY735" s="1443"/>
      <c r="DZ735" s="1443">
        <f t="shared" si="27"/>
        <v>0</v>
      </c>
      <c r="EA735" s="1443"/>
      <c r="EB735" s="1443"/>
      <c r="EC735" s="1443"/>
      <c r="ED735" s="1443"/>
      <c r="EE735" s="1443">
        <f t="shared" si="28"/>
        <v>0</v>
      </c>
      <c r="EF735" s="1443"/>
      <c r="EG735" s="1443"/>
      <c r="EH735" s="1443"/>
      <c r="EI735" s="1443"/>
      <c r="EJ735" s="1443">
        <f t="shared" si="29"/>
        <v>0</v>
      </c>
      <c r="EK735" s="1443"/>
      <c r="EL735" s="1443"/>
      <c r="EM735" s="1443"/>
      <c r="EN735" s="1443"/>
      <c r="EO735" s="1443">
        <f t="shared" si="30"/>
        <v>0</v>
      </c>
      <c r="EP735" s="1443"/>
      <c r="EQ735" s="1443"/>
      <c r="ER735" s="1443"/>
      <c r="ES735" s="1443"/>
      <c r="ET735" s="1443">
        <f t="shared" si="31"/>
        <v>0</v>
      </c>
      <c r="EU735" s="1443"/>
      <c r="EV735" s="1443"/>
      <c r="EW735" s="1443"/>
      <c r="EX735" s="1443"/>
      <c r="EZ735" s="1462" t="str">
        <f t="shared" si="32"/>
        <v/>
      </c>
      <c r="FA735" s="1464"/>
      <c r="FB735" s="1464"/>
      <c r="FC735" s="1464"/>
      <c r="FD735" s="1463"/>
      <c r="FE735" s="1462" t="str">
        <f t="shared" si="33"/>
        <v/>
      </c>
      <c r="FF735" s="1464"/>
      <c r="FG735" s="1464"/>
      <c r="FH735" s="1464"/>
      <c r="FI735" s="1463"/>
      <c r="FJ735" s="1462" t="str">
        <f t="shared" si="34"/>
        <v/>
      </c>
      <c r="FK735" s="1464"/>
      <c r="FL735" s="1464"/>
      <c r="FM735" s="1464"/>
      <c r="FN735" s="1463"/>
      <c r="FO735" s="1462" t="str">
        <f t="shared" si="35"/>
        <v/>
      </c>
      <c r="FP735" s="1464"/>
      <c r="FQ735" s="1464"/>
      <c r="FR735" s="1464"/>
      <c r="FS735" s="1463"/>
      <c r="FT735" s="1462" t="str">
        <f t="shared" si="36"/>
        <v/>
      </c>
      <c r="FU735" s="1464"/>
      <c r="FV735" s="1464"/>
      <c r="FW735" s="1464"/>
      <c r="FX735" s="1463"/>
      <c r="FY735" s="1462" t="str">
        <f t="shared" si="37"/>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10"/>
        <v>0</v>
      </c>
      <c r="Y736" s="1353"/>
      <c r="Z736" s="1353"/>
      <c r="AA736" s="1353"/>
      <c r="AB736" s="1354"/>
      <c r="AC736" s="1359"/>
      <c r="AD736" s="1360"/>
      <c r="AE736" s="1360"/>
      <c r="AF736" s="1360"/>
      <c r="AG736" s="1361"/>
      <c r="AH736" s="1355" t="str">
        <f t="shared" si="38"/>
        <v/>
      </c>
      <c r="AI736" s="1356"/>
      <c r="AJ736" s="1357"/>
      <c r="AK736" s="1337" t="s">
        <v>590</v>
      </c>
      <c r="AL736" s="1338"/>
      <c r="AM736" s="1338"/>
      <c r="AN736" s="1338"/>
      <c r="AO736" s="1339"/>
      <c r="AP736" s="3"/>
      <c r="AQ736" s="3"/>
      <c r="AR736" s="3"/>
      <c r="AS736" s="3"/>
      <c r="AY736" s="1085"/>
      <c r="AZ736" s="118" t="str">
        <f t="shared" si="11"/>
        <v>N/A</v>
      </c>
      <c r="BA736" s="3"/>
      <c r="BB736" s="3"/>
      <c r="BC736" s="3"/>
      <c r="BD736" s="3"/>
      <c r="BE736" s="204"/>
      <c r="BF736" s="294">
        <f t="shared" si="12"/>
        <v>0</v>
      </c>
      <c r="BG736" s="297">
        <f t="shared" si="13"/>
        <v>0</v>
      </c>
      <c r="BH736" s="298" t="str">
        <f t="shared" si="14"/>
        <v/>
      </c>
      <c r="BI736" s="3"/>
      <c r="BJ736" s="3"/>
      <c r="BK736" s="3"/>
      <c r="BL736" s="3"/>
      <c r="BM736" s="3"/>
      <c r="BN736" s="3"/>
      <c r="BS736" s="294">
        <f t="shared" si="15"/>
        <v>0</v>
      </c>
      <c r="BT736" s="297">
        <f t="shared" si="16"/>
        <v>0</v>
      </c>
      <c r="BU736" s="298" t="str">
        <f t="shared" si="17"/>
        <v/>
      </c>
      <c r="BV736" s="3"/>
      <c r="BW736" s="3"/>
      <c r="BX736" s="3"/>
      <c r="BY736" s="3"/>
      <c r="BZ736" s="3"/>
      <c r="CA736" s="3"/>
      <c r="CB736" s="3"/>
      <c r="CC736" s="3"/>
      <c r="CE736" s="3"/>
      <c r="CF736" s="3"/>
      <c r="CG736" s="1462">
        <f t="shared" si="39"/>
        <v>0</v>
      </c>
      <c r="CH736" s="1463"/>
      <c r="CI736" s="1468">
        <f t="shared" si="40"/>
        <v>0</v>
      </c>
      <c r="CJ736" s="1469"/>
      <c r="CK736" s="1462">
        <f t="shared" si="18"/>
        <v>0</v>
      </c>
      <c r="CL736" s="1463"/>
      <c r="CM736" s="1468">
        <f t="shared" si="19"/>
        <v>0</v>
      </c>
      <c r="CN736" s="1469"/>
      <c r="CO736" s="3"/>
      <c r="CP736" s="1457">
        <f t="shared" si="20"/>
        <v>0</v>
      </c>
      <c r="CQ736" s="1458"/>
      <c r="CR736" s="1458"/>
      <c r="CS736" s="1458"/>
      <c r="CT736" s="1459"/>
      <c r="CU736" s="1442">
        <f t="shared" si="21"/>
        <v>0</v>
      </c>
      <c r="CV736" s="1442"/>
      <c r="CW736" s="1442"/>
      <c r="CX736" s="1442"/>
      <c r="CY736" s="1442"/>
      <c r="CZ736" s="1442">
        <f t="shared" si="22"/>
        <v>0</v>
      </c>
      <c r="DA736" s="1442"/>
      <c r="DB736" s="1442"/>
      <c r="DC736" s="1442"/>
      <c r="DD736" s="1442"/>
      <c r="DE736" s="1442">
        <f t="shared" si="23"/>
        <v>0</v>
      </c>
      <c r="DF736" s="1442"/>
      <c r="DG736" s="1442"/>
      <c r="DH736" s="1442"/>
      <c r="DI736" s="1442"/>
      <c r="DJ736" s="1442">
        <f t="shared" si="24"/>
        <v>0</v>
      </c>
      <c r="DK736" s="1442"/>
      <c r="DL736" s="1442"/>
      <c r="DM736" s="1442"/>
      <c r="DN736" s="1442"/>
      <c r="DO736" s="1442">
        <f t="shared" si="25"/>
        <v>0</v>
      </c>
      <c r="DP736" s="1442"/>
      <c r="DQ736" s="1442"/>
      <c r="DR736" s="1442"/>
      <c r="DS736" s="1442"/>
      <c r="DT736" s="6"/>
      <c r="DU736" s="1443">
        <f t="shared" si="26"/>
        <v>0</v>
      </c>
      <c r="DV736" s="1443"/>
      <c r="DW736" s="1443"/>
      <c r="DX736" s="1443"/>
      <c r="DY736" s="1443"/>
      <c r="DZ736" s="1443">
        <f t="shared" si="27"/>
        <v>0</v>
      </c>
      <c r="EA736" s="1443"/>
      <c r="EB736" s="1443"/>
      <c r="EC736" s="1443"/>
      <c r="ED736" s="1443"/>
      <c r="EE736" s="1443">
        <f t="shared" si="28"/>
        <v>0</v>
      </c>
      <c r="EF736" s="1443"/>
      <c r="EG736" s="1443"/>
      <c r="EH736" s="1443"/>
      <c r="EI736" s="1443"/>
      <c r="EJ736" s="1443">
        <f t="shared" si="29"/>
        <v>0</v>
      </c>
      <c r="EK736" s="1443"/>
      <c r="EL736" s="1443"/>
      <c r="EM736" s="1443"/>
      <c r="EN736" s="1443"/>
      <c r="EO736" s="1443">
        <f t="shared" si="30"/>
        <v>0</v>
      </c>
      <c r="EP736" s="1443"/>
      <c r="EQ736" s="1443"/>
      <c r="ER736" s="1443"/>
      <c r="ES736" s="1443"/>
      <c r="ET736" s="1443">
        <f t="shared" si="31"/>
        <v>0</v>
      </c>
      <c r="EU736" s="1443"/>
      <c r="EV736" s="1443"/>
      <c r="EW736" s="1443"/>
      <c r="EX736" s="1443"/>
      <c r="EZ736" s="1462" t="str">
        <f t="shared" si="32"/>
        <v/>
      </c>
      <c r="FA736" s="1464"/>
      <c r="FB736" s="1464"/>
      <c r="FC736" s="1464"/>
      <c r="FD736" s="1463"/>
      <c r="FE736" s="1462" t="str">
        <f t="shared" si="33"/>
        <v/>
      </c>
      <c r="FF736" s="1464"/>
      <c r="FG736" s="1464"/>
      <c r="FH736" s="1464"/>
      <c r="FI736" s="1463"/>
      <c r="FJ736" s="1462" t="str">
        <f t="shared" si="34"/>
        <v/>
      </c>
      <c r="FK736" s="1464"/>
      <c r="FL736" s="1464"/>
      <c r="FM736" s="1464"/>
      <c r="FN736" s="1463"/>
      <c r="FO736" s="1462" t="str">
        <f t="shared" si="35"/>
        <v/>
      </c>
      <c r="FP736" s="1464"/>
      <c r="FQ736" s="1464"/>
      <c r="FR736" s="1464"/>
      <c r="FS736" s="1463"/>
      <c r="FT736" s="1462" t="str">
        <f t="shared" si="36"/>
        <v/>
      </c>
      <c r="FU736" s="1464"/>
      <c r="FV736" s="1464"/>
      <c r="FW736" s="1464"/>
      <c r="FX736" s="1463"/>
      <c r="FY736" s="1462" t="str">
        <f t="shared" si="37"/>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10"/>
        <v>0</v>
      </c>
      <c r="Y737" s="1353"/>
      <c r="Z737" s="1353"/>
      <c r="AA737" s="1353"/>
      <c r="AB737" s="1354"/>
      <c r="AC737" s="1359"/>
      <c r="AD737" s="1360"/>
      <c r="AE737" s="1360"/>
      <c r="AF737" s="1360"/>
      <c r="AG737" s="1361"/>
      <c r="AH737" s="1355" t="str">
        <f t="shared" si="38"/>
        <v/>
      </c>
      <c r="AI737" s="1356"/>
      <c r="AJ737" s="1357"/>
      <c r="AK737" s="1337" t="s">
        <v>590</v>
      </c>
      <c r="AL737" s="1338"/>
      <c r="AM737" s="1338"/>
      <c r="AN737" s="1338"/>
      <c r="AO737" s="1339"/>
      <c r="AP737" s="3"/>
      <c r="AQ737" s="3"/>
      <c r="AR737" s="3"/>
      <c r="AS737" s="3"/>
      <c r="AY737" s="1085"/>
      <c r="AZ737" s="118" t="str">
        <f t="shared" si="11"/>
        <v>N/A</v>
      </c>
      <c r="BA737" s="3"/>
      <c r="BB737" s="3"/>
      <c r="BC737" s="3"/>
      <c r="BD737" s="3"/>
      <c r="BE737" s="204"/>
      <c r="BF737" s="294">
        <f t="shared" si="12"/>
        <v>0</v>
      </c>
      <c r="BG737" s="297">
        <f t="shared" si="13"/>
        <v>0</v>
      </c>
      <c r="BH737" s="298" t="str">
        <f t="shared" si="14"/>
        <v/>
      </c>
      <c r="BI737" s="3"/>
      <c r="BJ737" s="3"/>
      <c r="BK737" s="3"/>
      <c r="BL737" s="3"/>
      <c r="BM737" s="3"/>
      <c r="BN737" s="3"/>
      <c r="BS737" s="294">
        <f t="shared" si="15"/>
        <v>0</v>
      </c>
      <c r="BT737" s="297">
        <f t="shared" si="16"/>
        <v>0</v>
      </c>
      <c r="BU737" s="298" t="str">
        <f t="shared" si="17"/>
        <v/>
      </c>
      <c r="BV737" s="3"/>
      <c r="BW737" s="3"/>
      <c r="BX737" s="3"/>
      <c r="BY737" s="3"/>
      <c r="BZ737" s="3"/>
      <c r="CA737" s="3"/>
      <c r="CB737" s="3"/>
      <c r="CC737" s="3"/>
      <c r="CE737" s="3"/>
      <c r="CF737" s="3"/>
      <c r="CG737" s="1462">
        <f t="shared" si="39"/>
        <v>0</v>
      </c>
      <c r="CH737" s="1463"/>
      <c r="CI737" s="1468">
        <f t="shared" si="40"/>
        <v>0</v>
      </c>
      <c r="CJ737" s="1469"/>
      <c r="CK737" s="1462">
        <f t="shared" si="18"/>
        <v>0</v>
      </c>
      <c r="CL737" s="1463"/>
      <c r="CM737" s="1468">
        <f t="shared" si="19"/>
        <v>0</v>
      </c>
      <c r="CN737" s="1469"/>
      <c r="CO737" s="3"/>
      <c r="CP737" s="1457">
        <f t="shared" si="20"/>
        <v>0</v>
      </c>
      <c r="CQ737" s="1458"/>
      <c r="CR737" s="1458"/>
      <c r="CS737" s="1458"/>
      <c r="CT737" s="1459"/>
      <c r="CU737" s="1442">
        <f t="shared" si="21"/>
        <v>0</v>
      </c>
      <c r="CV737" s="1442"/>
      <c r="CW737" s="1442"/>
      <c r="CX737" s="1442"/>
      <c r="CY737" s="1442"/>
      <c r="CZ737" s="1442">
        <f t="shared" si="22"/>
        <v>0</v>
      </c>
      <c r="DA737" s="1442"/>
      <c r="DB737" s="1442"/>
      <c r="DC737" s="1442"/>
      <c r="DD737" s="1442"/>
      <c r="DE737" s="1442">
        <f t="shared" si="23"/>
        <v>0</v>
      </c>
      <c r="DF737" s="1442"/>
      <c r="DG737" s="1442"/>
      <c r="DH737" s="1442"/>
      <c r="DI737" s="1442"/>
      <c r="DJ737" s="1442">
        <f t="shared" si="24"/>
        <v>0</v>
      </c>
      <c r="DK737" s="1442"/>
      <c r="DL737" s="1442"/>
      <c r="DM737" s="1442"/>
      <c r="DN737" s="1442"/>
      <c r="DO737" s="1442">
        <f t="shared" si="25"/>
        <v>0</v>
      </c>
      <c r="DP737" s="1442"/>
      <c r="DQ737" s="1442"/>
      <c r="DR737" s="1442"/>
      <c r="DS737" s="1442"/>
      <c r="DT737" s="6"/>
      <c r="DU737" s="1443">
        <f t="shared" si="26"/>
        <v>0</v>
      </c>
      <c r="DV737" s="1443"/>
      <c r="DW737" s="1443"/>
      <c r="DX737" s="1443"/>
      <c r="DY737" s="1443"/>
      <c r="DZ737" s="1443">
        <f t="shared" si="27"/>
        <v>0</v>
      </c>
      <c r="EA737" s="1443"/>
      <c r="EB737" s="1443"/>
      <c r="EC737" s="1443"/>
      <c r="ED737" s="1443"/>
      <c r="EE737" s="1443">
        <f t="shared" si="28"/>
        <v>0</v>
      </c>
      <c r="EF737" s="1443"/>
      <c r="EG737" s="1443"/>
      <c r="EH737" s="1443"/>
      <c r="EI737" s="1443"/>
      <c r="EJ737" s="1443">
        <f t="shared" si="29"/>
        <v>0</v>
      </c>
      <c r="EK737" s="1443"/>
      <c r="EL737" s="1443"/>
      <c r="EM737" s="1443"/>
      <c r="EN737" s="1443"/>
      <c r="EO737" s="1443">
        <f t="shared" si="30"/>
        <v>0</v>
      </c>
      <c r="EP737" s="1443"/>
      <c r="EQ737" s="1443"/>
      <c r="ER737" s="1443"/>
      <c r="ES737" s="1443"/>
      <c r="ET737" s="1443">
        <f t="shared" si="31"/>
        <v>0</v>
      </c>
      <c r="EU737" s="1443"/>
      <c r="EV737" s="1443"/>
      <c r="EW737" s="1443"/>
      <c r="EX737" s="1443"/>
      <c r="EZ737" s="1462" t="str">
        <f t="shared" si="32"/>
        <v/>
      </c>
      <c r="FA737" s="1464"/>
      <c r="FB737" s="1464"/>
      <c r="FC737" s="1464"/>
      <c r="FD737" s="1463"/>
      <c r="FE737" s="1462" t="str">
        <f t="shared" si="33"/>
        <v/>
      </c>
      <c r="FF737" s="1464"/>
      <c r="FG737" s="1464"/>
      <c r="FH737" s="1464"/>
      <c r="FI737" s="1463"/>
      <c r="FJ737" s="1462" t="str">
        <f t="shared" si="34"/>
        <v/>
      </c>
      <c r="FK737" s="1464"/>
      <c r="FL737" s="1464"/>
      <c r="FM737" s="1464"/>
      <c r="FN737" s="1463"/>
      <c r="FO737" s="1462" t="str">
        <f t="shared" si="35"/>
        <v/>
      </c>
      <c r="FP737" s="1464"/>
      <c r="FQ737" s="1464"/>
      <c r="FR737" s="1464"/>
      <c r="FS737" s="1463"/>
      <c r="FT737" s="1462" t="str">
        <f t="shared" si="36"/>
        <v/>
      </c>
      <c r="FU737" s="1464"/>
      <c r="FV737" s="1464"/>
      <c r="FW737" s="1464"/>
      <c r="FX737" s="1463"/>
      <c r="FY737" s="1462" t="str">
        <f t="shared" si="37"/>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10"/>
        <v>0</v>
      </c>
      <c r="Y738" s="1353"/>
      <c r="Z738" s="1353"/>
      <c r="AA738" s="1353"/>
      <c r="AB738" s="1354"/>
      <c r="AC738" s="1359"/>
      <c r="AD738" s="1360"/>
      <c r="AE738" s="1360"/>
      <c r="AF738" s="1360"/>
      <c r="AG738" s="1361"/>
      <c r="AH738" s="1355" t="str">
        <f t="shared" si="38"/>
        <v/>
      </c>
      <c r="AI738" s="1356"/>
      <c r="AJ738" s="1357"/>
      <c r="AK738" s="1337" t="s">
        <v>590</v>
      </c>
      <c r="AL738" s="1338"/>
      <c r="AM738" s="1338"/>
      <c r="AN738" s="1338"/>
      <c r="AO738" s="1339"/>
      <c r="AP738" s="3"/>
      <c r="AQ738" s="3"/>
      <c r="AR738" s="3"/>
      <c r="AS738" s="3"/>
      <c r="AY738" s="1085"/>
      <c r="AZ738" s="118" t="str">
        <f t="shared" si="11"/>
        <v>N/A</v>
      </c>
      <c r="BA738" s="3"/>
      <c r="BE738" s="204"/>
      <c r="BF738" s="294">
        <f t="shared" si="12"/>
        <v>0</v>
      </c>
      <c r="BG738" s="297">
        <f t="shared" si="13"/>
        <v>0</v>
      </c>
      <c r="BH738" s="298" t="str">
        <f t="shared" si="14"/>
        <v/>
      </c>
      <c r="BK738" s="3"/>
      <c r="BL738" s="3"/>
      <c r="BM738" s="3"/>
      <c r="BN738" s="3"/>
      <c r="BS738" s="294">
        <f t="shared" si="15"/>
        <v>0</v>
      </c>
      <c r="BT738" s="297">
        <f t="shared" si="16"/>
        <v>0</v>
      </c>
      <c r="BU738" s="298" t="str">
        <f t="shared" si="17"/>
        <v/>
      </c>
      <c r="BV738" s="3"/>
      <c r="BW738" s="3"/>
      <c r="BX738" s="3"/>
      <c r="BY738" s="3"/>
      <c r="BZ738" s="3"/>
      <c r="CA738" s="3"/>
      <c r="CB738" s="3"/>
      <c r="CC738" s="3"/>
      <c r="CE738" s="3"/>
      <c r="CF738" s="3"/>
      <c r="CG738" s="1462">
        <f t="shared" si="39"/>
        <v>0</v>
      </c>
      <c r="CH738" s="1463"/>
      <c r="CI738" s="1468">
        <f t="shared" si="40"/>
        <v>0</v>
      </c>
      <c r="CJ738" s="1469"/>
      <c r="CK738" s="1462">
        <f t="shared" si="18"/>
        <v>0</v>
      </c>
      <c r="CL738" s="1463"/>
      <c r="CM738" s="1468">
        <f t="shared" si="19"/>
        <v>0</v>
      </c>
      <c r="CN738" s="1469"/>
      <c r="CO738" s="3"/>
      <c r="CP738" s="1457">
        <f t="shared" si="20"/>
        <v>0</v>
      </c>
      <c r="CQ738" s="1458"/>
      <c r="CR738" s="1458"/>
      <c r="CS738" s="1458"/>
      <c r="CT738" s="1459"/>
      <c r="CU738" s="1442">
        <f t="shared" si="21"/>
        <v>0</v>
      </c>
      <c r="CV738" s="1442"/>
      <c r="CW738" s="1442"/>
      <c r="CX738" s="1442"/>
      <c r="CY738" s="1442"/>
      <c r="CZ738" s="1442">
        <f t="shared" si="22"/>
        <v>0</v>
      </c>
      <c r="DA738" s="1442"/>
      <c r="DB738" s="1442"/>
      <c r="DC738" s="1442"/>
      <c r="DD738" s="1442"/>
      <c r="DE738" s="1442">
        <f t="shared" si="23"/>
        <v>0</v>
      </c>
      <c r="DF738" s="1442"/>
      <c r="DG738" s="1442"/>
      <c r="DH738" s="1442"/>
      <c r="DI738" s="1442"/>
      <c r="DJ738" s="1442">
        <f t="shared" si="24"/>
        <v>0</v>
      </c>
      <c r="DK738" s="1442"/>
      <c r="DL738" s="1442"/>
      <c r="DM738" s="1442"/>
      <c r="DN738" s="1442"/>
      <c r="DO738" s="1442">
        <f t="shared" si="25"/>
        <v>0</v>
      </c>
      <c r="DP738" s="1442"/>
      <c r="DQ738" s="1442"/>
      <c r="DR738" s="1442"/>
      <c r="DS738" s="1442"/>
      <c r="DT738" s="6"/>
      <c r="DU738" s="1443">
        <f t="shared" si="26"/>
        <v>0</v>
      </c>
      <c r="DV738" s="1443"/>
      <c r="DW738" s="1443"/>
      <c r="DX738" s="1443"/>
      <c r="DY738" s="1443"/>
      <c r="DZ738" s="1443">
        <f t="shared" si="27"/>
        <v>0</v>
      </c>
      <c r="EA738" s="1443"/>
      <c r="EB738" s="1443"/>
      <c r="EC738" s="1443"/>
      <c r="ED738" s="1443"/>
      <c r="EE738" s="1443">
        <f t="shared" si="28"/>
        <v>0</v>
      </c>
      <c r="EF738" s="1443"/>
      <c r="EG738" s="1443"/>
      <c r="EH738" s="1443"/>
      <c r="EI738" s="1443"/>
      <c r="EJ738" s="1443">
        <f t="shared" si="29"/>
        <v>0</v>
      </c>
      <c r="EK738" s="1443"/>
      <c r="EL738" s="1443"/>
      <c r="EM738" s="1443"/>
      <c r="EN738" s="1443"/>
      <c r="EO738" s="1443">
        <f t="shared" si="30"/>
        <v>0</v>
      </c>
      <c r="EP738" s="1443"/>
      <c r="EQ738" s="1443"/>
      <c r="ER738" s="1443"/>
      <c r="ES738" s="1443"/>
      <c r="ET738" s="1443">
        <f t="shared" si="31"/>
        <v>0</v>
      </c>
      <c r="EU738" s="1443"/>
      <c r="EV738" s="1443"/>
      <c r="EW738" s="1443"/>
      <c r="EX738" s="1443"/>
      <c r="EZ738" s="1462" t="str">
        <f t="shared" si="32"/>
        <v/>
      </c>
      <c r="FA738" s="1464"/>
      <c r="FB738" s="1464"/>
      <c r="FC738" s="1464"/>
      <c r="FD738" s="1463"/>
      <c r="FE738" s="1462" t="str">
        <f t="shared" si="33"/>
        <v/>
      </c>
      <c r="FF738" s="1464"/>
      <c r="FG738" s="1464"/>
      <c r="FH738" s="1464"/>
      <c r="FI738" s="1463"/>
      <c r="FJ738" s="1462" t="str">
        <f t="shared" si="34"/>
        <v/>
      </c>
      <c r="FK738" s="1464"/>
      <c r="FL738" s="1464"/>
      <c r="FM738" s="1464"/>
      <c r="FN738" s="1463"/>
      <c r="FO738" s="1462" t="str">
        <f t="shared" si="35"/>
        <v/>
      </c>
      <c r="FP738" s="1464"/>
      <c r="FQ738" s="1464"/>
      <c r="FR738" s="1464"/>
      <c r="FS738" s="1463"/>
      <c r="FT738" s="1462" t="str">
        <f t="shared" si="36"/>
        <v/>
      </c>
      <c r="FU738" s="1464"/>
      <c r="FV738" s="1464"/>
      <c r="FW738" s="1464"/>
      <c r="FX738" s="1463"/>
      <c r="FY738" s="1462" t="str">
        <f t="shared" si="37"/>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10"/>
        <v>0</v>
      </c>
      <c r="Y739" s="1353"/>
      <c r="Z739" s="1353"/>
      <c r="AA739" s="1353"/>
      <c r="AB739" s="1354"/>
      <c r="AC739" s="1359"/>
      <c r="AD739" s="1360"/>
      <c r="AE739" s="1360"/>
      <c r="AF739" s="1360"/>
      <c r="AG739" s="1361"/>
      <c r="AH739" s="1355" t="str">
        <f t="shared" si="38"/>
        <v/>
      </c>
      <c r="AI739" s="1356"/>
      <c r="AJ739" s="1357"/>
      <c r="AK739" s="1337" t="s">
        <v>590</v>
      </c>
      <c r="AL739" s="1338"/>
      <c r="AM739" s="1338"/>
      <c r="AN739" s="1338"/>
      <c r="AO739" s="1339"/>
      <c r="AP739" s="3"/>
      <c r="AQ739" s="3"/>
      <c r="AR739" s="3"/>
      <c r="AS739" s="3"/>
      <c r="AY739" s="1085"/>
      <c r="AZ739" s="118" t="str">
        <f t="shared" si="11"/>
        <v>N/A</v>
      </c>
      <c r="BA739" s="3"/>
      <c r="BE739" s="204"/>
      <c r="BF739" s="294">
        <f t="shared" si="12"/>
        <v>0</v>
      </c>
      <c r="BG739" s="297">
        <f t="shared" si="13"/>
        <v>0</v>
      </c>
      <c r="BH739" s="298" t="str">
        <f t="shared" si="14"/>
        <v/>
      </c>
      <c r="BK739" s="3"/>
      <c r="BL739" s="3"/>
      <c r="BM739" s="3"/>
      <c r="BN739" s="3"/>
      <c r="BS739" s="294">
        <f t="shared" si="15"/>
        <v>0</v>
      </c>
      <c r="BT739" s="297">
        <f t="shared" si="16"/>
        <v>0</v>
      </c>
      <c r="BU739" s="298" t="str">
        <f t="shared" si="17"/>
        <v/>
      </c>
      <c r="BV739" s="3"/>
      <c r="BW739" s="3"/>
      <c r="BX739" s="3"/>
      <c r="BY739" s="3"/>
      <c r="BZ739" s="3"/>
      <c r="CA739" s="3"/>
      <c r="CB739" s="3"/>
      <c r="CC739" s="3"/>
      <c r="CE739" s="3"/>
      <c r="CF739" s="3"/>
      <c r="CG739" s="1462">
        <f t="shared" si="39"/>
        <v>0</v>
      </c>
      <c r="CH739" s="1463"/>
      <c r="CI739" s="1468">
        <f t="shared" si="40"/>
        <v>0</v>
      </c>
      <c r="CJ739" s="1469"/>
      <c r="CK739" s="1462">
        <f t="shared" si="18"/>
        <v>0</v>
      </c>
      <c r="CL739" s="1463"/>
      <c r="CM739" s="1468">
        <f t="shared" si="19"/>
        <v>0</v>
      </c>
      <c r="CN739" s="1469"/>
      <c r="CO739" s="3"/>
      <c r="CP739" s="1457">
        <f t="shared" si="20"/>
        <v>0</v>
      </c>
      <c r="CQ739" s="1458"/>
      <c r="CR739" s="1458"/>
      <c r="CS739" s="1458"/>
      <c r="CT739" s="1459"/>
      <c r="CU739" s="1442">
        <f t="shared" si="21"/>
        <v>0</v>
      </c>
      <c r="CV739" s="1442"/>
      <c r="CW739" s="1442"/>
      <c r="CX739" s="1442"/>
      <c r="CY739" s="1442"/>
      <c r="CZ739" s="1442">
        <f t="shared" si="22"/>
        <v>0</v>
      </c>
      <c r="DA739" s="1442"/>
      <c r="DB739" s="1442"/>
      <c r="DC739" s="1442"/>
      <c r="DD739" s="1442"/>
      <c r="DE739" s="1442">
        <f t="shared" si="23"/>
        <v>0</v>
      </c>
      <c r="DF739" s="1442"/>
      <c r="DG739" s="1442"/>
      <c r="DH739" s="1442"/>
      <c r="DI739" s="1442"/>
      <c r="DJ739" s="1442">
        <f t="shared" si="24"/>
        <v>0</v>
      </c>
      <c r="DK739" s="1442"/>
      <c r="DL739" s="1442"/>
      <c r="DM739" s="1442"/>
      <c r="DN739" s="1442"/>
      <c r="DO739" s="1442">
        <f t="shared" si="25"/>
        <v>0</v>
      </c>
      <c r="DP739" s="1442"/>
      <c r="DQ739" s="1442"/>
      <c r="DR739" s="1442"/>
      <c r="DS739" s="1442"/>
      <c r="DT739" s="6"/>
      <c r="DU739" s="1443">
        <f t="shared" si="26"/>
        <v>0</v>
      </c>
      <c r="DV739" s="1443"/>
      <c r="DW739" s="1443"/>
      <c r="DX739" s="1443"/>
      <c r="DY739" s="1443"/>
      <c r="DZ739" s="1443">
        <f t="shared" si="27"/>
        <v>0</v>
      </c>
      <c r="EA739" s="1443"/>
      <c r="EB739" s="1443"/>
      <c r="EC739" s="1443"/>
      <c r="ED739" s="1443"/>
      <c r="EE739" s="1443">
        <f t="shared" si="28"/>
        <v>0</v>
      </c>
      <c r="EF739" s="1443"/>
      <c r="EG739" s="1443"/>
      <c r="EH739" s="1443"/>
      <c r="EI739" s="1443"/>
      <c r="EJ739" s="1443">
        <f t="shared" si="29"/>
        <v>0</v>
      </c>
      <c r="EK739" s="1443"/>
      <c r="EL739" s="1443"/>
      <c r="EM739" s="1443"/>
      <c r="EN739" s="1443"/>
      <c r="EO739" s="1443">
        <f t="shared" si="30"/>
        <v>0</v>
      </c>
      <c r="EP739" s="1443"/>
      <c r="EQ739" s="1443"/>
      <c r="ER739" s="1443"/>
      <c r="ES739" s="1443"/>
      <c r="ET739" s="1443">
        <f t="shared" si="31"/>
        <v>0</v>
      </c>
      <c r="EU739" s="1443"/>
      <c r="EV739" s="1443"/>
      <c r="EW739" s="1443"/>
      <c r="EX739" s="1443"/>
      <c r="EZ739" s="1462" t="str">
        <f t="shared" si="32"/>
        <v/>
      </c>
      <c r="FA739" s="1464"/>
      <c r="FB739" s="1464"/>
      <c r="FC739" s="1464"/>
      <c r="FD739" s="1463"/>
      <c r="FE739" s="1462" t="str">
        <f t="shared" si="33"/>
        <v/>
      </c>
      <c r="FF739" s="1464"/>
      <c r="FG739" s="1464"/>
      <c r="FH739" s="1464"/>
      <c r="FI739" s="1463"/>
      <c r="FJ739" s="1462" t="str">
        <f t="shared" si="34"/>
        <v/>
      </c>
      <c r="FK739" s="1464"/>
      <c r="FL739" s="1464"/>
      <c r="FM739" s="1464"/>
      <c r="FN739" s="1463"/>
      <c r="FO739" s="1462" t="str">
        <f t="shared" si="35"/>
        <v/>
      </c>
      <c r="FP739" s="1464"/>
      <c r="FQ739" s="1464"/>
      <c r="FR739" s="1464"/>
      <c r="FS739" s="1463"/>
      <c r="FT739" s="1462" t="str">
        <f t="shared" si="36"/>
        <v/>
      </c>
      <c r="FU739" s="1464"/>
      <c r="FV739" s="1464"/>
      <c r="FW739" s="1464"/>
      <c r="FX739" s="1463"/>
      <c r="FY739" s="1462" t="str">
        <f t="shared" si="37"/>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10"/>
        <v>0</v>
      </c>
      <c r="Y740" s="1353"/>
      <c r="Z740" s="1353"/>
      <c r="AA740" s="1353"/>
      <c r="AB740" s="1354"/>
      <c r="AC740" s="1359"/>
      <c r="AD740" s="1360"/>
      <c r="AE740" s="1360"/>
      <c r="AF740" s="1360"/>
      <c r="AG740" s="1361"/>
      <c r="AH740" s="1355" t="str">
        <f t="shared" si="38"/>
        <v/>
      </c>
      <c r="AI740" s="1356"/>
      <c r="AJ740" s="1357"/>
      <c r="AK740" s="1337" t="s">
        <v>590</v>
      </c>
      <c r="AL740" s="1338"/>
      <c r="AM740" s="1338"/>
      <c r="AN740" s="1338"/>
      <c r="AO740" s="1339"/>
      <c r="AP740" s="3"/>
      <c r="AQ740" s="3"/>
      <c r="AR740" s="3"/>
      <c r="AS740" s="3"/>
      <c r="AY740" s="1085"/>
      <c r="AZ740" s="118" t="str">
        <f t="shared" si="11"/>
        <v>N/A</v>
      </c>
      <c r="BA740" s="3"/>
      <c r="BE740" s="204"/>
      <c r="BF740" s="294">
        <f t="shared" si="12"/>
        <v>0</v>
      </c>
      <c r="BG740" s="297">
        <f t="shared" si="13"/>
        <v>0</v>
      </c>
      <c r="BH740" s="298" t="str">
        <f t="shared" si="14"/>
        <v/>
      </c>
      <c r="BK740" s="3"/>
      <c r="BL740" s="3"/>
      <c r="BM740" s="3"/>
      <c r="BN740" s="3"/>
      <c r="BS740" s="294">
        <f t="shared" si="15"/>
        <v>0</v>
      </c>
      <c r="BT740" s="297">
        <f t="shared" si="16"/>
        <v>0</v>
      </c>
      <c r="BU740" s="298" t="str">
        <f t="shared" si="17"/>
        <v/>
      </c>
      <c r="BV740" s="3"/>
      <c r="BW740" s="3"/>
      <c r="BX740" s="3"/>
      <c r="BY740" s="3"/>
      <c r="BZ740" s="3"/>
      <c r="CA740" s="3"/>
      <c r="CB740" s="3"/>
      <c r="CC740" s="3"/>
      <c r="CE740" s="3"/>
      <c r="CF740" s="3"/>
      <c r="CG740" s="1462">
        <f t="shared" si="39"/>
        <v>0</v>
      </c>
      <c r="CH740" s="1463"/>
      <c r="CI740" s="1468">
        <f t="shared" si="40"/>
        <v>0</v>
      </c>
      <c r="CJ740" s="1469"/>
      <c r="CK740" s="1462">
        <f t="shared" si="18"/>
        <v>0</v>
      </c>
      <c r="CL740" s="1463"/>
      <c r="CM740" s="1468">
        <f t="shared" si="19"/>
        <v>0</v>
      </c>
      <c r="CN740" s="1469"/>
      <c r="CO740" s="3"/>
      <c r="CP740" s="1457">
        <f t="shared" si="20"/>
        <v>0</v>
      </c>
      <c r="CQ740" s="1458"/>
      <c r="CR740" s="1458"/>
      <c r="CS740" s="1458"/>
      <c r="CT740" s="1459"/>
      <c r="CU740" s="1442">
        <f t="shared" si="21"/>
        <v>0</v>
      </c>
      <c r="CV740" s="1442"/>
      <c r="CW740" s="1442"/>
      <c r="CX740" s="1442"/>
      <c r="CY740" s="1442"/>
      <c r="CZ740" s="1442">
        <f t="shared" si="22"/>
        <v>0</v>
      </c>
      <c r="DA740" s="1442"/>
      <c r="DB740" s="1442"/>
      <c r="DC740" s="1442"/>
      <c r="DD740" s="1442"/>
      <c r="DE740" s="1442">
        <f t="shared" si="23"/>
        <v>0</v>
      </c>
      <c r="DF740" s="1442"/>
      <c r="DG740" s="1442"/>
      <c r="DH740" s="1442"/>
      <c r="DI740" s="1442"/>
      <c r="DJ740" s="1442">
        <f t="shared" si="24"/>
        <v>0</v>
      </c>
      <c r="DK740" s="1442"/>
      <c r="DL740" s="1442"/>
      <c r="DM740" s="1442"/>
      <c r="DN740" s="1442"/>
      <c r="DO740" s="1442">
        <f t="shared" si="25"/>
        <v>0</v>
      </c>
      <c r="DP740" s="1442"/>
      <c r="DQ740" s="1442"/>
      <c r="DR740" s="1442"/>
      <c r="DS740" s="1442"/>
      <c r="DT740" s="6"/>
      <c r="DU740" s="1443">
        <f t="shared" si="26"/>
        <v>0</v>
      </c>
      <c r="DV740" s="1443"/>
      <c r="DW740" s="1443"/>
      <c r="DX740" s="1443"/>
      <c r="DY740" s="1443"/>
      <c r="DZ740" s="1443">
        <f t="shared" si="27"/>
        <v>0</v>
      </c>
      <c r="EA740" s="1443"/>
      <c r="EB740" s="1443"/>
      <c r="EC740" s="1443"/>
      <c r="ED740" s="1443"/>
      <c r="EE740" s="1443">
        <f t="shared" si="28"/>
        <v>0</v>
      </c>
      <c r="EF740" s="1443"/>
      <c r="EG740" s="1443"/>
      <c r="EH740" s="1443"/>
      <c r="EI740" s="1443"/>
      <c r="EJ740" s="1443">
        <f t="shared" si="29"/>
        <v>0</v>
      </c>
      <c r="EK740" s="1443"/>
      <c r="EL740" s="1443"/>
      <c r="EM740" s="1443"/>
      <c r="EN740" s="1443"/>
      <c r="EO740" s="1443">
        <f t="shared" si="30"/>
        <v>0</v>
      </c>
      <c r="EP740" s="1443"/>
      <c r="EQ740" s="1443"/>
      <c r="ER740" s="1443"/>
      <c r="ES740" s="1443"/>
      <c r="ET740" s="1443">
        <f t="shared" si="31"/>
        <v>0</v>
      </c>
      <c r="EU740" s="1443"/>
      <c r="EV740" s="1443"/>
      <c r="EW740" s="1443"/>
      <c r="EX740" s="1443"/>
      <c r="EZ740" s="1462" t="str">
        <f t="shared" si="32"/>
        <v/>
      </c>
      <c r="FA740" s="1464"/>
      <c r="FB740" s="1464"/>
      <c r="FC740" s="1464"/>
      <c r="FD740" s="1463"/>
      <c r="FE740" s="1462" t="str">
        <f t="shared" si="33"/>
        <v/>
      </c>
      <c r="FF740" s="1464"/>
      <c r="FG740" s="1464"/>
      <c r="FH740" s="1464"/>
      <c r="FI740" s="1463"/>
      <c r="FJ740" s="1462" t="str">
        <f t="shared" si="34"/>
        <v/>
      </c>
      <c r="FK740" s="1464"/>
      <c r="FL740" s="1464"/>
      <c r="FM740" s="1464"/>
      <c r="FN740" s="1463"/>
      <c r="FO740" s="1462" t="str">
        <f t="shared" si="35"/>
        <v/>
      </c>
      <c r="FP740" s="1464"/>
      <c r="FQ740" s="1464"/>
      <c r="FR740" s="1464"/>
      <c r="FS740" s="1463"/>
      <c r="FT740" s="1462" t="str">
        <f t="shared" si="36"/>
        <v/>
      </c>
      <c r="FU740" s="1464"/>
      <c r="FV740" s="1464"/>
      <c r="FW740" s="1464"/>
      <c r="FX740" s="1463"/>
      <c r="FY740" s="1462" t="str">
        <f t="shared" si="37"/>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10"/>
        <v>0</v>
      </c>
      <c r="Y741" s="1353"/>
      <c r="Z741" s="1353"/>
      <c r="AA741" s="1353"/>
      <c r="AB741" s="1354"/>
      <c r="AC741" s="1359"/>
      <c r="AD741" s="1360"/>
      <c r="AE741" s="1360"/>
      <c r="AF741" s="1360"/>
      <c r="AG741" s="1361"/>
      <c r="AH741" s="1355" t="str">
        <f t="shared" si="38"/>
        <v/>
      </c>
      <c r="AI741" s="1356"/>
      <c r="AJ741" s="1357"/>
      <c r="AK741" s="1337" t="s">
        <v>590</v>
      </c>
      <c r="AL741" s="1338"/>
      <c r="AM741" s="1338"/>
      <c r="AN741" s="1338"/>
      <c r="AO741" s="1339"/>
      <c r="AP741" s="3"/>
      <c r="AQ741" s="3"/>
      <c r="AR741" s="3"/>
      <c r="AS741" s="3"/>
      <c r="AY741" s="1085"/>
      <c r="AZ741" s="118" t="str">
        <f t="shared" si="11"/>
        <v>N/A</v>
      </c>
      <c r="BA741" s="3"/>
      <c r="BE741" s="204"/>
      <c r="BF741" s="294">
        <f t="shared" si="12"/>
        <v>0</v>
      </c>
      <c r="BG741" s="297">
        <f t="shared" si="13"/>
        <v>0</v>
      </c>
      <c r="BH741" s="298" t="str">
        <f t="shared" si="14"/>
        <v/>
      </c>
      <c r="BK741" s="3"/>
      <c r="BL741" s="3"/>
      <c r="BM741" s="3"/>
      <c r="BN741" s="3"/>
      <c r="BS741" s="294">
        <f t="shared" si="15"/>
        <v>0</v>
      </c>
      <c r="BT741" s="297">
        <f t="shared" si="16"/>
        <v>0</v>
      </c>
      <c r="BU741" s="298" t="str">
        <f t="shared" si="17"/>
        <v/>
      </c>
      <c r="BV741" s="3"/>
      <c r="BW741" s="3"/>
      <c r="BX741" s="3"/>
      <c r="BY741" s="3"/>
      <c r="BZ741" s="3"/>
      <c r="CA741" s="3"/>
      <c r="CB741" s="3"/>
      <c r="CC741" s="3"/>
      <c r="CE741" s="3"/>
      <c r="CF741" s="3"/>
      <c r="CG741" s="1462">
        <f t="shared" si="39"/>
        <v>0</v>
      </c>
      <c r="CH741" s="1463"/>
      <c r="CI741" s="1468">
        <f t="shared" si="40"/>
        <v>0</v>
      </c>
      <c r="CJ741" s="1469"/>
      <c r="CK741" s="1462">
        <f t="shared" si="18"/>
        <v>0</v>
      </c>
      <c r="CL741" s="1463"/>
      <c r="CM741" s="1468">
        <f t="shared" si="19"/>
        <v>0</v>
      </c>
      <c r="CN741" s="1469"/>
      <c r="CO741" s="3"/>
      <c r="CP741" s="1457">
        <f t="shared" si="20"/>
        <v>0</v>
      </c>
      <c r="CQ741" s="1458"/>
      <c r="CR741" s="1458"/>
      <c r="CS741" s="1458"/>
      <c r="CT741" s="1459"/>
      <c r="CU741" s="1442">
        <f t="shared" si="21"/>
        <v>0</v>
      </c>
      <c r="CV741" s="1442"/>
      <c r="CW741" s="1442"/>
      <c r="CX741" s="1442"/>
      <c r="CY741" s="1442"/>
      <c r="CZ741" s="1442">
        <f t="shared" si="22"/>
        <v>0</v>
      </c>
      <c r="DA741" s="1442"/>
      <c r="DB741" s="1442"/>
      <c r="DC741" s="1442"/>
      <c r="DD741" s="1442"/>
      <c r="DE741" s="1442">
        <f t="shared" si="23"/>
        <v>0</v>
      </c>
      <c r="DF741" s="1442"/>
      <c r="DG741" s="1442"/>
      <c r="DH741" s="1442"/>
      <c r="DI741" s="1442"/>
      <c r="DJ741" s="1442">
        <f t="shared" si="24"/>
        <v>0</v>
      </c>
      <c r="DK741" s="1442"/>
      <c r="DL741" s="1442"/>
      <c r="DM741" s="1442"/>
      <c r="DN741" s="1442"/>
      <c r="DO741" s="1442">
        <f t="shared" si="25"/>
        <v>0</v>
      </c>
      <c r="DP741" s="1442"/>
      <c r="DQ741" s="1442"/>
      <c r="DR741" s="1442"/>
      <c r="DS741" s="1442"/>
      <c r="DT741" s="6"/>
      <c r="DU741" s="1443">
        <f t="shared" si="26"/>
        <v>0</v>
      </c>
      <c r="DV741" s="1443"/>
      <c r="DW741" s="1443"/>
      <c r="DX741" s="1443"/>
      <c r="DY741" s="1443"/>
      <c r="DZ741" s="1443">
        <f t="shared" si="27"/>
        <v>0</v>
      </c>
      <c r="EA741" s="1443"/>
      <c r="EB741" s="1443"/>
      <c r="EC741" s="1443"/>
      <c r="ED741" s="1443"/>
      <c r="EE741" s="1443">
        <f t="shared" si="28"/>
        <v>0</v>
      </c>
      <c r="EF741" s="1443"/>
      <c r="EG741" s="1443"/>
      <c r="EH741" s="1443"/>
      <c r="EI741" s="1443"/>
      <c r="EJ741" s="1443">
        <f t="shared" si="29"/>
        <v>0</v>
      </c>
      <c r="EK741" s="1443"/>
      <c r="EL741" s="1443"/>
      <c r="EM741" s="1443"/>
      <c r="EN741" s="1443"/>
      <c r="EO741" s="1443">
        <f t="shared" si="30"/>
        <v>0</v>
      </c>
      <c r="EP741" s="1443"/>
      <c r="EQ741" s="1443"/>
      <c r="ER741" s="1443"/>
      <c r="ES741" s="1443"/>
      <c r="ET741" s="1443">
        <f t="shared" si="31"/>
        <v>0</v>
      </c>
      <c r="EU741" s="1443"/>
      <c r="EV741" s="1443"/>
      <c r="EW741" s="1443"/>
      <c r="EX741" s="1443"/>
      <c r="EZ741" s="1462" t="str">
        <f t="shared" si="32"/>
        <v/>
      </c>
      <c r="FA741" s="1464"/>
      <c r="FB741" s="1464"/>
      <c r="FC741" s="1464"/>
      <c r="FD741" s="1463"/>
      <c r="FE741" s="1462" t="str">
        <f t="shared" si="33"/>
        <v/>
      </c>
      <c r="FF741" s="1464"/>
      <c r="FG741" s="1464"/>
      <c r="FH741" s="1464"/>
      <c r="FI741" s="1463"/>
      <c r="FJ741" s="1462" t="str">
        <f t="shared" si="34"/>
        <v/>
      </c>
      <c r="FK741" s="1464"/>
      <c r="FL741" s="1464"/>
      <c r="FM741" s="1464"/>
      <c r="FN741" s="1463"/>
      <c r="FO741" s="1462" t="str">
        <f t="shared" si="35"/>
        <v/>
      </c>
      <c r="FP741" s="1464"/>
      <c r="FQ741" s="1464"/>
      <c r="FR741" s="1464"/>
      <c r="FS741" s="1463"/>
      <c r="FT741" s="1462" t="str">
        <f t="shared" si="36"/>
        <v/>
      </c>
      <c r="FU741" s="1464"/>
      <c r="FV741" s="1464"/>
      <c r="FW741" s="1464"/>
      <c r="FX741" s="1463"/>
      <c r="FY741" s="1462" t="str">
        <f t="shared" si="37"/>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41">O742+T742</f>
        <v>0</v>
      </c>
      <c r="Y742" s="1353"/>
      <c r="Z742" s="1353"/>
      <c r="AA742" s="1353"/>
      <c r="AB742" s="1354"/>
      <c r="AC742" s="1359"/>
      <c r="AD742" s="1360"/>
      <c r="AE742" s="1360"/>
      <c r="AF742" s="1360"/>
      <c r="AG742" s="1361"/>
      <c r="AH742" s="1355" t="str">
        <f t="shared" si="38"/>
        <v/>
      </c>
      <c r="AI742" s="1356"/>
      <c r="AJ742" s="1357"/>
      <c r="AK742" s="1337" t="s">
        <v>590</v>
      </c>
      <c r="AL742" s="1338"/>
      <c r="AM742" s="1338"/>
      <c r="AN742" s="1338"/>
      <c r="AO742" s="1339"/>
      <c r="AP742" s="3"/>
      <c r="AQ742" s="3"/>
      <c r="AR742" s="3"/>
      <c r="AS742" s="3"/>
      <c r="AY742" s="1085"/>
      <c r="AZ742" s="118" t="str">
        <f t="shared" si="11"/>
        <v>N/A</v>
      </c>
      <c r="BA742" s="3"/>
      <c r="BB742" s="3"/>
      <c r="BE742" s="204"/>
      <c r="BF742" s="294">
        <f t="shared" si="12"/>
        <v>0</v>
      </c>
      <c r="BG742" s="297">
        <f t="shared" si="13"/>
        <v>0</v>
      </c>
      <c r="BH742" s="298" t="str">
        <f t="shared" si="14"/>
        <v/>
      </c>
      <c r="BL742" s="3"/>
      <c r="BM742" s="3"/>
      <c r="BN742" s="3"/>
      <c r="BS742" s="294">
        <f t="shared" si="15"/>
        <v>0</v>
      </c>
      <c r="BT742" s="297">
        <f t="shared" si="16"/>
        <v>0</v>
      </c>
      <c r="BU742" s="298" t="str">
        <f t="shared" si="17"/>
        <v/>
      </c>
      <c r="BV742" s="3"/>
      <c r="BW742" s="3"/>
      <c r="BX742" s="3"/>
      <c r="BY742" s="3"/>
      <c r="BZ742" s="3"/>
      <c r="CA742" s="3"/>
      <c r="CB742" s="3"/>
      <c r="CC742" s="3"/>
      <c r="CE742" s="3"/>
      <c r="CF742" s="3"/>
      <c r="CG742" s="1462">
        <f t="shared" si="39"/>
        <v>0</v>
      </c>
      <c r="CH742" s="1463"/>
      <c r="CI742" s="1468">
        <f t="shared" si="40"/>
        <v>0</v>
      </c>
      <c r="CJ742" s="1469"/>
      <c r="CK742" s="1462">
        <f t="shared" si="18"/>
        <v>0</v>
      </c>
      <c r="CL742" s="1463"/>
      <c r="CM742" s="1468">
        <f t="shared" si="19"/>
        <v>0</v>
      </c>
      <c r="CN742" s="1469"/>
      <c r="CO742" s="3"/>
      <c r="CP742" s="1457">
        <f t="shared" si="20"/>
        <v>0</v>
      </c>
      <c r="CQ742" s="1458"/>
      <c r="CR742" s="1458"/>
      <c r="CS742" s="1458"/>
      <c r="CT742" s="1459"/>
      <c r="CU742" s="1442">
        <f t="shared" si="21"/>
        <v>0</v>
      </c>
      <c r="CV742" s="1442"/>
      <c r="CW742" s="1442"/>
      <c r="CX742" s="1442"/>
      <c r="CY742" s="1442"/>
      <c r="CZ742" s="1442">
        <f t="shared" si="22"/>
        <v>0</v>
      </c>
      <c r="DA742" s="1442"/>
      <c r="DB742" s="1442"/>
      <c r="DC742" s="1442"/>
      <c r="DD742" s="1442"/>
      <c r="DE742" s="1442">
        <f t="shared" si="23"/>
        <v>0</v>
      </c>
      <c r="DF742" s="1442"/>
      <c r="DG742" s="1442"/>
      <c r="DH742" s="1442"/>
      <c r="DI742" s="1442"/>
      <c r="DJ742" s="1442">
        <f t="shared" si="24"/>
        <v>0</v>
      </c>
      <c r="DK742" s="1442"/>
      <c r="DL742" s="1442"/>
      <c r="DM742" s="1442"/>
      <c r="DN742" s="1442"/>
      <c r="DO742" s="1442">
        <f t="shared" si="25"/>
        <v>0</v>
      </c>
      <c r="DP742" s="1442"/>
      <c r="DQ742" s="1442"/>
      <c r="DR742" s="1442"/>
      <c r="DS742" s="1442"/>
      <c r="DT742" s="6"/>
      <c r="DU742" s="1443">
        <f t="shared" si="26"/>
        <v>0</v>
      </c>
      <c r="DV742" s="1443"/>
      <c r="DW742" s="1443"/>
      <c r="DX742" s="1443"/>
      <c r="DY742" s="1443"/>
      <c r="DZ742" s="1443">
        <f t="shared" si="27"/>
        <v>0</v>
      </c>
      <c r="EA742" s="1443"/>
      <c r="EB742" s="1443"/>
      <c r="EC742" s="1443"/>
      <c r="ED742" s="1443"/>
      <c r="EE742" s="1443">
        <f t="shared" si="28"/>
        <v>0</v>
      </c>
      <c r="EF742" s="1443"/>
      <c r="EG742" s="1443"/>
      <c r="EH742" s="1443"/>
      <c r="EI742" s="1443"/>
      <c r="EJ742" s="1443">
        <f t="shared" si="29"/>
        <v>0</v>
      </c>
      <c r="EK742" s="1443"/>
      <c r="EL742" s="1443"/>
      <c r="EM742" s="1443"/>
      <c r="EN742" s="1443"/>
      <c r="EO742" s="1443">
        <f t="shared" si="30"/>
        <v>0</v>
      </c>
      <c r="EP742" s="1443"/>
      <c r="EQ742" s="1443"/>
      <c r="ER742" s="1443"/>
      <c r="ES742" s="1443"/>
      <c r="ET742" s="1443">
        <f t="shared" si="31"/>
        <v>0</v>
      </c>
      <c r="EU742" s="1443"/>
      <c r="EV742" s="1443"/>
      <c r="EW742" s="1443"/>
      <c r="EX742" s="1443"/>
      <c r="EZ742" s="1462" t="str">
        <f t="shared" si="32"/>
        <v/>
      </c>
      <c r="FA742" s="1464"/>
      <c r="FB742" s="1464"/>
      <c r="FC742" s="1464"/>
      <c r="FD742" s="1463"/>
      <c r="FE742" s="1462" t="str">
        <f t="shared" si="33"/>
        <v/>
      </c>
      <c r="FF742" s="1464"/>
      <c r="FG742" s="1464"/>
      <c r="FH742" s="1464"/>
      <c r="FI742" s="1463"/>
      <c r="FJ742" s="1462" t="str">
        <f t="shared" si="34"/>
        <v/>
      </c>
      <c r="FK742" s="1464"/>
      <c r="FL742" s="1464"/>
      <c r="FM742" s="1464"/>
      <c r="FN742" s="1463"/>
      <c r="FO742" s="1462" t="str">
        <f t="shared" si="35"/>
        <v/>
      </c>
      <c r="FP742" s="1464"/>
      <c r="FQ742" s="1464"/>
      <c r="FR742" s="1464"/>
      <c r="FS742" s="1463"/>
      <c r="FT742" s="1462" t="str">
        <f t="shared" si="36"/>
        <v/>
      </c>
      <c r="FU742" s="1464"/>
      <c r="FV742" s="1464"/>
      <c r="FW742" s="1464"/>
      <c r="FX742" s="1463"/>
      <c r="FY742" s="1462" t="str">
        <f t="shared" si="37"/>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41"/>
        <v>0</v>
      </c>
      <c r="Y743" s="1353"/>
      <c r="Z743" s="1353"/>
      <c r="AA743" s="1353"/>
      <c r="AB743" s="1354"/>
      <c r="AC743" s="1359"/>
      <c r="AD743" s="1360"/>
      <c r="AE743" s="1360"/>
      <c r="AF743" s="1360"/>
      <c r="AG743" s="1361"/>
      <c r="AH743" s="1355" t="str">
        <f t="shared" si="38"/>
        <v/>
      </c>
      <c r="AI743" s="1356"/>
      <c r="AJ743" s="1357"/>
      <c r="AK743" s="1337" t="s">
        <v>590</v>
      </c>
      <c r="AL743" s="1338"/>
      <c r="AM743" s="1338"/>
      <c r="AN743" s="1338"/>
      <c r="AO743" s="1339"/>
      <c r="AT743"/>
      <c r="AU743"/>
      <c r="AV743"/>
      <c r="AW743"/>
      <c r="AX743"/>
      <c r="AY743" s="1085"/>
      <c r="AZ743" s="118" t="str">
        <f t="shared" si="11"/>
        <v>N/A</v>
      </c>
      <c r="BD743"/>
      <c r="BE743"/>
      <c r="BF743" s="294">
        <f t="shared" si="12"/>
        <v>0</v>
      </c>
      <c r="BG743" s="297">
        <f t="shared" si="13"/>
        <v>0</v>
      </c>
      <c r="BH743" s="298" t="str">
        <f t="shared" si="14"/>
        <v/>
      </c>
      <c r="BI743"/>
      <c r="BJ743"/>
      <c r="BK743"/>
      <c r="BL743"/>
      <c r="BM743"/>
      <c r="BN743"/>
      <c r="BO743"/>
      <c r="BP743"/>
      <c r="BQ743"/>
      <c r="BR743"/>
      <c r="BS743" s="294">
        <f t="shared" si="15"/>
        <v>0</v>
      </c>
      <c r="BT743" s="297">
        <f t="shared" si="16"/>
        <v>0</v>
      </c>
      <c r="BU743" s="298" t="str">
        <f t="shared" si="17"/>
        <v/>
      </c>
      <c r="CD743"/>
      <c r="CG743" s="1462">
        <f t="shared" si="39"/>
        <v>0</v>
      </c>
      <c r="CH743" s="1463"/>
      <c r="CI743" s="1468">
        <f t="shared" si="40"/>
        <v>0</v>
      </c>
      <c r="CJ743" s="1469"/>
      <c r="CK743" s="1462">
        <f t="shared" si="18"/>
        <v>0</v>
      </c>
      <c r="CL743" s="1463"/>
      <c r="CM743" s="1468">
        <f t="shared" si="19"/>
        <v>0</v>
      </c>
      <c r="CN743" s="1469"/>
      <c r="CP743" s="1457">
        <f t="shared" si="20"/>
        <v>0</v>
      </c>
      <c r="CQ743" s="1458"/>
      <c r="CR743" s="1458"/>
      <c r="CS743" s="1458"/>
      <c r="CT743" s="1459"/>
      <c r="CU743" s="1442">
        <f t="shared" si="21"/>
        <v>0</v>
      </c>
      <c r="CV743" s="1442"/>
      <c r="CW743" s="1442"/>
      <c r="CX743" s="1442"/>
      <c r="CY743" s="1442"/>
      <c r="CZ743" s="1442">
        <f t="shared" si="22"/>
        <v>0</v>
      </c>
      <c r="DA743" s="1442"/>
      <c r="DB743" s="1442"/>
      <c r="DC743" s="1442"/>
      <c r="DD743" s="1442"/>
      <c r="DE743" s="1442">
        <f t="shared" si="23"/>
        <v>0</v>
      </c>
      <c r="DF743" s="1442"/>
      <c r="DG743" s="1442"/>
      <c r="DH743" s="1442"/>
      <c r="DI743" s="1442"/>
      <c r="DJ743" s="1442">
        <f t="shared" si="24"/>
        <v>0</v>
      </c>
      <c r="DK743" s="1442"/>
      <c r="DL743" s="1442"/>
      <c r="DM743" s="1442"/>
      <c r="DN743" s="1442"/>
      <c r="DO743" s="1442">
        <f t="shared" si="25"/>
        <v>0</v>
      </c>
      <c r="DP743" s="1442"/>
      <c r="DQ743" s="1442"/>
      <c r="DR743" s="1442"/>
      <c r="DS743" s="1442"/>
      <c r="DT743" s="6"/>
      <c r="DU743" s="1443">
        <f t="shared" si="26"/>
        <v>0</v>
      </c>
      <c r="DV743" s="1443"/>
      <c r="DW743" s="1443"/>
      <c r="DX743" s="1443"/>
      <c r="DY743" s="1443"/>
      <c r="DZ743" s="1443">
        <f t="shared" si="27"/>
        <v>0</v>
      </c>
      <c r="EA743" s="1443"/>
      <c r="EB743" s="1443"/>
      <c r="EC743" s="1443"/>
      <c r="ED743" s="1443"/>
      <c r="EE743" s="1443">
        <f t="shared" si="28"/>
        <v>0</v>
      </c>
      <c r="EF743" s="1443"/>
      <c r="EG743" s="1443"/>
      <c r="EH743" s="1443"/>
      <c r="EI743" s="1443"/>
      <c r="EJ743" s="1443">
        <f t="shared" si="29"/>
        <v>0</v>
      </c>
      <c r="EK743" s="1443"/>
      <c r="EL743" s="1443"/>
      <c r="EM743" s="1443"/>
      <c r="EN743" s="1443"/>
      <c r="EO743" s="1443">
        <f t="shared" si="30"/>
        <v>0</v>
      </c>
      <c r="EP743" s="1443"/>
      <c r="EQ743" s="1443"/>
      <c r="ER743" s="1443"/>
      <c r="ES743" s="1443"/>
      <c r="ET743" s="1443">
        <f t="shared" si="31"/>
        <v>0</v>
      </c>
      <c r="EU743" s="1443"/>
      <c r="EV743" s="1443"/>
      <c r="EW743" s="1443"/>
      <c r="EX743" s="1443"/>
      <c r="EY743"/>
      <c r="EZ743" s="1462" t="str">
        <f t="shared" si="32"/>
        <v/>
      </c>
      <c r="FA743" s="1464"/>
      <c r="FB743" s="1464"/>
      <c r="FC743" s="1464"/>
      <c r="FD743" s="1463"/>
      <c r="FE743" s="1462" t="str">
        <f t="shared" si="33"/>
        <v/>
      </c>
      <c r="FF743" s="1464"/>
      <c r="FG743" s="1464"/>
      <c r="FH743" s="1464"/>
      <c r="FI743" s="1463"/>
      <c r="FJ743" s="1462" t="str">
        <f t="shared" si="34"/>
        <v/>
      </c>
      <c r="FK743" s="1464"/>
      <c r="FL743" s="1464"/>
      <c r="FM743" s="1464"/>
      <c r="FN743" s="1463"/>
      <c r="FO743" s="1462" t="str">
        <f t="shared" si="35"/>
        <v/>
      </c>
      <c r="FP743" s="1464"/>
      <c r="FQ743" s="1464"/>
      <c r="FR743" s="1464"/>
      <c r="FS743" s="1463"/>
      <c r="FT743" s="1462" t="str">
        <f t="shared" si="36"/>
        <v/>
      </c>
      <c r="FU743" s="1464"/>
      <c r="FV743" s="1464"/>
      <c r="FW743" s="1464"/>
      <c r="FX743" s="1463"/>
      <c r="FY743" s="1462" t="str">
        <f t="shared" si="37"/>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41"/>
        <v>0</v>
      </c>
      <c r="Y744" s="1353"/>
      <c r="Z744" s="1353"/>
      <c r="AA744" s="1353"/>
      <c r="AB744" s="1354"/>
      <c r="AC744" s="1359"/>
      <c r="AD744" s="1360"/>
      <c r="AE744" s="1360"/>
      <c r="AF744" s="1360"/>
      <c r="AG744" s="1361"/>
      <c r="AH744" s="1355" t="str">
        <f t="shared" si="38"/>
        <v/>
      </c>
      <c r="AI744" s="1356"/>
      <c r="AJ744" s="1357"/>
      <c r="AK744" s="1337" t="s">
        <v>590</v>
      </c>
      <c r="AL744" s="1338"/>
      <c r="AM744" s="1338"/>
      <c r="AN744" s="1338"/>
      <c r="AO744" s="1339"/>
      <c r="AP744" s="3"/>
      <c r="AQ744" s="3"/>
      <c r="AR744" s="3"/>
      <c r="AS744" s="3"/>
      <c r="AY744" s="1085"/>
      <c r="AZ744" s="118" t="str">
        <f t="shared" si="11"/>
        <v>N/A</v>
      </c>
      <c r="BA744" s="3"/>
      <c r="BB744" s="3"/>
      <c r="BC744" s="3"/>
      <c r="BD744" s="3"/>
      <c r="BE744" s="3"/>
      <c r="BF744" s="294">
        <f t="shared" si="12"/>
        <v>0</v>
      </c>
      <c r="BG744" s="297">
        <f t="shared" si="13"/>
        <v>0</v>
      </c>
      <c r="BH744" s="298" t="str">
        <f t="shared" si="14"/>
        <v/>
      </c>
      <c r="BI744" s="3"/>
      <c r="BJ744" s="3"/>
      <c r="BK744" s="3"/>
      <c r="BL744" s="3"/>
      <c r="BM744" s="3"/>
      <c r="BN744" s="3"/>
      <c r="BS744" s="294">
        <f t="shared" si="15"/>
        <v>0</v>
      </c>
      <c r="BT744" s="297">
        <f t="shared" si="16"/>
        <v>0</v>
      </c>
      <c r="BU744" s="298" t="str">
        <f t="shared" si="17"/>
        <v/>
      </c>
      <c r="BV744" s="3"/>
      <c r="BW744" s="3"/>
      <c r="BX744" s="3"/>
      <c r="BY744" s="3"/>
      <c r="BZ744" s="3"/>
      <c r="CA744" s="3"/>
      <c r="CB744" s="3"/>
      <c r="CC744" s="3"/>
      <c r="CE744" s="3"/>
      <c r="CF744" s="3"/>
      <c r="CG744" s="1462">
        <f t="shared" si="39"/>
        <v>0</v>
      </c>
      <c r="CH744" s="1463"/>
      <c r="CI744" s="1468">
        <f t="shared" si="40"/>
        <v>0</v>
      </c>
      <c r="CJ744" s="1469"/>
      <c r="CK744" s="1462">
        <f t="shared" si="18"/>
        <v>0</v>
      </c>
      <c r="CL744" s="1463"/>
      <c r="CM744" s="1468">
        <f t="shared" si="19"/>
        <v>0</v>
      </c>
      <c r="CN744" s="1469"/>
      <c r="CO744" s="3"/>
      <c r="CP744" s="1457">
        <f t="shared" si="20"/>
        <v>0</v>
      </c>
      <c r="CQ744" s="1458"/>
      <c r="CR744" s="1458"/>
      <c r="CS744" s="1458"/>
      <c r="CT744" s="1459"/>
      <c r="CU744" s="1442">
        <f t="shared" si="21"/>
        <v>0</v>
      </c>
      <c r="CV744" s="1442"/>
      <c r="CW744" s="1442"/>
      <c r="CX744" s="1442"/>
      <c r="CY744" s="1442"/>
      <c r="CZ744" s="1442">
        <f t="shared" si="22"/>
        <v>0</v>
      </c>
      <c r="DA744" s="1442"/>
      <c r="DB744" s="1442"/>
      <c r="DC744" s="1442"/>
      <c r="DD744" s="1442"/>
      <c r="DE744" s="1442">
        <f t="shared" si="23"/>
        <v>0</v>
      </c>
      <c r="DF744" s="1442"/>
      <c r="DG744" s="1442"/>
      <c r="DH744" s="1442"/>
      <c r="DI744" s="1442"/>
      <c r="DJ744" s="1442">
        <f t="shared" si="24"/>
        <v>0</v>
      </c>
      <c r="DK744" s="1442"/>
      <c r="DL744" s="1442"/>
      <c r="DM744" s="1442"/>
      <c r="DN744" s="1442"/>
      <c r="DO744" s="1442">
        <f t="shared" si="25"/>
        <v>0</v>
      </c>
      <c r="DP744" s="1442"/>
      <c r="DQ744" s="1442"/>
      <c r="DR744" s="1442"/>
      <c r="DS744" s="1442"/>
      <c r="DT744" s="6"/>
      <c r="DU744" s="1443">
        <f t="shared" si="26"/>
        <v>0</v>
      </c>
      <c r="DV744" s="1443"/>
      <c r="DW744" s="1443"/>
      <c r="DX744" s="1443"/>
      <c r="DY744" s="1443"/>
      <c r="DZ744" s="1443">
        <f t="shared" si="27"/>
        <v>0</v>
      </c>
      <c r="EA744" s="1443"/>
      <c r="EB744" s="1443"/>
      <c r="EC744" s="1443"/>
      <c r="ED744" s="1443"/>
      <c r="EE744" s="1443">
        <f t="shared" si="28"/>
        <v>0</v>
      </c>
      <c r="EF744" s="1443"/>
      <c r="EG744" s="1443"/>
      <c r="EH744" s="1443"/>
      <c r="EI744" s="1443"/>
      <c r="EJ744" s="1443">
        <f t="shared" si="29"/>
        <v>0</v>
      </c>
      <c r="EK744" s="1443"/>
      <c r="EL744" s="1443"/>
      <c r="EM744" s="1443"/>
      <c r="EN744" s="1443"/>
      <c r="EO744" s="1443">
        <f t="shared" si="30"/>
        <v>0</v>
      </c>
      <c r="EP744" s="1443"/>
      <c r="EQ744" s="1443"/>
      <c r="ER744" s="1443"/>
      <c r="ES744" s="1443"/>
      <c r="ET744" s="1443">
        <f t="shared" si="31"/>
        <v>0</v>
      </c>
      <c r="EU744" s="1443"/>
      <c r="EV744" s="1443"/>
      <c r="EW744" s="1443"/>
      <c r="EX744" s="1443"/>
      <c r="EZ744" s="1462" t="str">
        <f t="shared" si="32"/>
        <v/>
      </c>
      <c r="FA744" s="1464"/>
      <c r="FB744" s="1464"/>
      <c r="FC744" s="1464"/>
      <c r="FD744" s="1463"/>
      <c r="FE744" s="1462" t="str">
        <f t="shared" si="33"/>
        <v/>
      </c>
      <c r="FF744" s="1464"/>
      <c r="FG744" s="1464"/>
      <c r="FH744" s="1464"/>
      <c r="FI744" s="1463"/>
      <c r="FJ744" s="1462" t="str">
        <f t="shared" si="34"/>
        <v/>
      </c>
      <c r="FK744" s="1464"/>
      <c r="FL744" s="1464"/>
      <c r="FM744" s="1464"/>
      <c r="FN744" s="1463"/>
      <c r="FO744" s="1462" t="str">
        <f t="shared" si="35"/>
        <v/>
      </c>
      <c r="FP744" s="1464"/>
      <c r="FQ744" s="1464"/>
      <c r="FR744" s="1464"/>
      <c r="FS744" s="1463"/>
      <c r="FT744" s="1462" t="str">
        <f t="shared" si="36"/>
        <v/>
      </c>
      <c r="FU744" s="1464"/>
      <c r="FV744" s="1464"/>
      <c r="FW744" s="1464"/>
      <c r="FX744" s="1463"/>
      <c r="FY744" s="1462" t="str">
        <f t="shared" si="37"/>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41"/>
        <v>0</v>
      </c>
      <c r="Y745" s="1353"/>
      <c r="Z745" s="1353"/>
      <c r="AA745" s="1353"/>
      <c r="AB745" s="1354"/>
      <c r="AC745" s="1359"/>
      <c r="AD745" s="1360"/>
      <c r="AE745" s="1360"/>
      <c r="AF745" s="1360"/>
      <c r="AG745" s="1361"/>
      <c r="AH745" s="1355" t="str">
        <f t="shared" si="38"/>
        <v/>
      </c>
      <c r="AI745" s="1356"/>
      <c r="AJ745" s="1357"/>
      <c r="AK745" s="1337" t="s">
        <v>590</v>
      </c>
      <c r="AL745" s="1338"/>
      <c r="AM745" s="1338"/>
      <c r="AN745" s="1338"/>
      <c r="AO745" s="1339"/>
      <c r="AP745" s="3"/>
      <c r="AQ745" s="3"/>
      <c r="AR745" s="3"/>
      <c r="AS745" s="3"/>
      <c r="AY745" s="1085"/>
      <c r="AZ745" s="118" t="str">
        <f t="shared" si="11"/>
        <v>N/A</v>
      </c>
      <c r="BA745" s="3"/>
      <c r="BB745" s="3"/>
      <c r="BC745" s="3"/>
      <c r="BD745" s="3"/>
      <c r="BE745" s="3"/>
      <c r="BF745" s="294">
        <f t="shared" si="12"/>
        <v>0</v>
      </c>
      <c r="BG745" s="297">
        <f t="shared" si="13"/>
        <v>0</v>
      </c>
      <c r="BH745" s="298" t="str">
        <f t="shared" si="14"/>
        <v/>
      </c>
      <c r="BI745" s="3"/>
      <c r="BJ745" s="3"/>
      <c r="BK745" s="3"/>
      <c r="BL745" s="3"/>
      <c r="BM745" s="3"/>
      <c r="BN745" s="3"/>
      <c r="BS745" s="294">
        <f t="shared" si="15"/>
        <v>0</v>
      </c>
      <c r="BT745" s="297">
        <f t="shared" si="16"/>
        <v>0</v>
      </c>
      <c r="BU745" s="298" t="str">
        <f t="shared" si="17"/>
        <v/>
      </c>
      <c r="BV745" s="3"/>
      <c r="BW745" s="3"/>
      <c r="BX745" s="3"/>
      <c r="BY745" s="3"/>
      <c r="BZ745" s="3"/>
      <c r="CA745" s="3"/>
      <c r="CB745" s="3"/>
      <c r="CC745" s="3"/>
      <c r="CE745" s="3"/>
      <c r="CF745" s="3"/>
      <c r="CG745" s="1462">
        <f t="shared" si="39"/>
        <v>0</v>
      </c>
      <c r="CH745" s="1463"/>
      <c r="CI745" s="1468">
        <f t="shared" si="40"/>
        <v>0</v>
      </c>
      <c r="CJ745" s="1469"/>
      <c r="CK745" s="1462">
        <f t="shared" si="18"/>
        <v>0</v>
      </c>
      <c r="CL745" s="1463"/>
      <c r="CM745" s="1468">
        <f t="shared" si="19"/>
        <v>0</v>
      </c>
      <c r="CN745" s="1469"/>
      <c r="CO745" s="3"/>
      <c r="CP745" s="1457">
        <f t="shared" si="20"/>
        <v>0</v>
      </c>
      <c r="CQ745" s="1458"/>
      <c r="CR745" s="1458"/>
      <c r="CS745" s="1458"/>
      <c r="CT745" s="1459"/>
      <c r="CU745" s="1442">
        <f t="shared" si="21"/>
        <v>0</v>
      </c>
      <c r="CV745" s="1442"/>
      <c r="CW745" s="1442"/>
      <c r="CX745" s="1442"/>
      <c r="CY745" s="1442"/>
      <c r="CZ745" s="1442">
        <f t="shared" si="22"/>
        <v>0</v>
      </c>
      <c r="DA745" s="1442"/>
      <c r="DB745" s="1442"/>
      <c r="DC745" s="1442"/>
      <c r="DD745" s="1442"/>
      <c r="DE745" s="1442">
        <f t="shared" si="23"/>
        <v>0</v>
      </c>
      <c r="DF745" s="1442"/>
      <c r="DG745" s="1442"/>
      <c r="DH745" s="1442"/>
      <c r="DI745" s="1442"/>
      <c r="DJ745" s="1442">
        <f t="shared" si="24"/>
        <v>0</v>
      </c>
      <c r="DK745" s="1442"/>
      <c r="DL745" s="1442"/>
      <c r="DM745" s="1442"/>
      <c r="DN745" s="1442"/>
      <c r="DO745" s="1442">
        <f t="shared" si="25"/>
        <v>0</v>
      </c>
      <c r="DP745" s="1442"/>
      <c r="DQ745" s="1442"/>
      <c r="DR745" s="1442"/>
      <c r="DS745" s="1442"/>
      <c r="DT745" s="6"/>
      <c r="DU745" s="1443">
        <f t="shared" si="26"/>
        <v>0</v>
      </c>
      <c r="DV745" s="1443"/>
      <c r="DW745" s="1443"/>
      <c r="DX745" s="1443"/>
      <c r="DY745" s="1443"/>
      <c r="DZ745" s="1443">
        <f t="shared" si="27"/>
        <v>0</v>
      </c>
      <c r="EA745" s="1443"/>
      <c r="EB745" s="1443"/>
      <c r="EC745" s="1443"/>
      <c r="ED745" s="1443"/>
      <c r="EE745" s="1443">
        <f t="shared" si="28"/>
        <v>0</v>
      </c>
      <c r="EF745" s="1443"/>
      <c r="EG745" s="1443"/>
      <c r="EH745" s="1443"/>
      <c r="EI745" s="1443"/>
      <c r="EJ745" s="1443">
        <f t="shared" si="29"/>
        <v>0</v>
      </c>
      <c r="EK745" s="1443"/>
      <c r="EL745" s="1443"/>
      <c r="EM745" s="1443"/>
      <c r="EN745" s="1443"/>
      <c r="EO745" s="1443">
        <f t="shared" si="30"/>
        <v>0</v>
      </c>
      <c r="EP745" s="1443"/>
      <c r="EQ745" s="1443"/>
      <c r="ER745" s="1443"/>
      <c r="ES745" s="1443"/>
      <c r="ET745" s="1443">
        <f t="shared" si="31"/>
        <v>0</v>
      </c>
      <c r="EU745" s="1443"/>
      <c r="EV745" s="1443"/>
      <c r="EW745" s="1443"/>
      <c r="EX745" s="1443"/>
      <c r="EZ745" s="1462" t="str">
        <f t="shared" si="32"/>
        <v/>
      </c>
      <c r="FA745" s="1464"/>
      <c r="FB745" s="1464"/>
      <c r="FC745" s="1464"/>
      <c r="FD745" s="1463"/>
      <c r="FE745" s="1462" t="str">
        <f t="shared" si="33"/>
        <v/>
      </c>
      <c r="FF745" s="1464"/>
      <c r="FG745" s="1464"/>
      <c r="FH745" s="1464"/>
      <c r="FI745" s="1463"/>
      <c r="FJ745" s="1462" t="str">
        <f t="shared" si="34"/>
        <v/>
      </c>
      <c r="FK745" s="1464"/>
      <c r="FL745" s="1464"/>
      <c r="FM745" s="1464"/>
      <c r="FN745" s="1463"/>
      <c r="FO745" s="1462" t="str">
        <f t="shared" si="35"/>
        <v/>
      </c>
      <c r="FP745" s="1464"/>
      <c r="FQ745" s="1464"/>
      <c r="FR745" s="1464"/>
      <c r="FS745" s="1463"/>
      <c r="FT745" s="1462" t="str">
        <f t="shared" si="36"/>
        <v/>
      </c>
      <c r="FU745" s="1464"/>
      <c r="FV745" s="1464"/>
      <c r="FW745" s="1464"/>
      <c r="FX745" s="1463"/>
      <c r="FY745" s="1462" t="str">
        <f t="shared" si="37"/>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41"/>
        <v>0</v>
      </c>
      <c r="Y746" s="1353"/>
      <c r="Z746" s="1353"/>
      <c r="AA746" s="1353"/>
      <c r="AB746" s="1354"/>
      <c r="AC746" s="1359"/>
      <c r="AD746" s="1360"/>
      <c r="AE746" s="1360"/>
      <c r="AF746" s="1360"/>
      <c r="AG746" s="1361"/>
      <c r="AH746" s="1355" t="str">
        <f t="shared" si="38"/>
        <v/>
      </c>
      <c r="AI746" s="1356"/>
      <c r="AJ746" s="1357"/>
      <c r="AK746" s="1337" t="s">
        <v>590</v>
      </c>
      <c r="AL746" s="1338"/>
      <c r="AM746" s="1338"/>
      <c r="AN746" s="1338"/>
      <c r="AO746" s="1339"/>
      <c r="AP746" s="3"/>
      <c r="AQ746" s="3"/>
      <c r="AR746" s="3"/>
      <c r="AS746" s="3"/>
      <c r="AY746" s="1085"/>
      <c r="AZ746" s="118" t="str">
        <f t="shared" si="11"/>
        <v>N/A</v>
      </c>
      <c r="BA746" s="34"/>
      <c r="BB746" s="34"/>
      <c r="BC746" s="34"/>
      <c r="BD746" s="34"/>
      <c r="BE746" s="34"/>
      <c r="BF746" s="294">
        <f t="shared" si="12"/>
        <v>0</v>
      </c>
      <c r="BG746" s="297">
        <f t="shared" si="13"/>
        <v>0</v>
      </c>
      <c r="BH746" s="298" t="str">
        <f t="shared" si="14"/>
        <v/>
      </c>
      <c r="BI746" s="34"/>
      <c r="BJ746" s="34"/>
      <c r="BK746" s="34"/>
      <c r="BL746" s="34"/>
      <c r="BM746" s="34"/>
      <c r="BN746" s="34"/>
      <c r="BS746" s="294">
        <f t="shared" si="15"/>
        <v>0</v>
      </c>
      <c r="BT746" s="297">
        <f t="shared" si="16"/>
        <v>0</v>
      </c>
      <c r="BU746" s="298" t="str">
        <f t="shared" si="17"/>
        <v/>
      </c>
      <c r="BV746" s="3"/>
      <c r="BW746" s="3"/>
      <c r="BX746" s="3"/>
      <c r="BY746" s="3"/>
      <c r="BZ746" s="3"/>
      <c r="CA746" s="3"/>
      <c r="CB746" s="3"/>
      <c r="CC746" s="3"/>
      <c r="CE746" s="3"/>
      <c r="CF746" s="3"/>
      <c r="CG746" s="1462">
        <f t="shared" si="39"/>
        <v>0</v>
      </c>
      <c r="CH746" s="1463"/>
      <c r="CI746" s="1468">
        <f t="shared" si="40"/>
        <v>0</v>
      </c>
      <c r="CJ746" s="1469"/>
      <c r="CK746" s="1462">
        <f t="shared" si="18"/>
        <v>0</v>
      </c>
      <c r="CL746" s="1463"/>
      <c r="CM746" s="1468">
        <f t="shared" si="19"/>
        <v>0</v>
      </c>
      <c r="CN746" s="1469"/>
      <c r="CO746" s="3"/>
      <c r="CP746" s="1457">
        <f t="shared" si="20"/>
        <v>0</v>
      </c>
      <c r="CQ746" s="1458"/>
      <c r="CR746" s="1458"/>
      <c r="CS746" s="1458"/>
      <c r="CT746" s="1459"/>
      <c r="CU746" s="1442">
        <f t="shared" si="21"/>
        <v>0</v>
      </c>
      <c r="CV746" s="1442"/>
      <c r="CW746" s="1442"/>
      <c r="CX746" s="1442"/>
      <c r="CY746" s="1442"/>
      <c r="CZ746" s="1442">
        <f t="shared" si="22"/>
        <v>0</v>
      </c>
      <c r="DA746" s="1442"/>
      <c r="DB746" s="1442"/>
      <c r="DC746" s="1442"/>
      <c r="DD746" s="1442"/>
      <c r="DE746" s="1442">
        <f t="shared" si="23"/>
        <v>0</v>
      </c>
      <c r="DF746" s="1442"/>
      <c r="DG746" s="1442"/>
      <c r="DH746" s="1442"/>
      <c r="DI746" s="1442"/>
      <c r="DJ746" s="1442">
        <f t="shared" si="24"/>
        <v>0</v>
      </c>
      <c r="DK746" s="1442"/>
      <c r="DL746" s="1442"/>
      <c r="DM746" s="1442"/>
      <c r="DN746" s="1442"/>
      <c r="DO746" s="1442">
        <f t="shared" si="25"/>
        <v>0</v>
      </c>
      <c r="DP746" s="1442"/>
      <c r="DQ746" s="1442"/>
      <c r="DR746" s="1442"/>
      <c r="DS746" s="1442"/>
      <c r="DT746" s="6"/>
      <c r="DU746" s="1443">
        <f t="shared" si="26"/>
        <v>0</v>
      </c>
      <c r="DV746" s="1443"/>
      <c r="DW746" s="1443"/>
      <c r="DX746" s="1443"/>
      <c r="DY746" s="1443"/>
      <c r="DZ746" s="1443">
        <f t="shared" si="27"/>
        <v>0</v>
      </c>
      <c r="EA746" s="1443"/>
      <c r="EB746" s="1443"/>
      <c r="EC746" s="1443"/>
      <c r="ED746" s="1443"/>
      <c r="EE746" s="1443">
        <f t="shared" si="28"/>
        <v>0</v>
      </c>
      <c r="EF746" s="1443"/>
      <c r="EG746" s="1443"/>
      <c r="EH746" s="1443"/>
      <c r="EI746" s="1443"/>
      <c r="EJ746" s="1443">
        <f t="shared" si="29"/>
        <v>0</v>
      </c>
      <c r="EK746" s="1443"/>
      <c r="EL746" s="1443"/>
      <c r="EM746" s="1443"/>
      <c r="EN746" s="1443"/>
      <c r="EO746" s="1443">
        <f t="shared" si="30"/>
        <v>0</v>
      </c>
      <c r="EP746" s="1443"/>
      <c r="EQ746" s="1443"/>
      <c r="ER746" s="1443"/>
      <c r="ES746" s="1443"/>
      <c r="ET746" s="1443">
        <f t="shared" si="31"/>
        <v>0</v>
      </c>
      <c r="EU746" s="1443"/>
      <c r="EV746" s="1443"/>
      <c r="EW746" s="1443"/>
      <c r="EX746" s="1443"/>
      <c r="EZ746" s="1462" t="str">
        <f t="shared" si="32"/>
        <v/>
      </c>
      <c r="FA746" s="1464"/>
      <c r="FB746" s="1464"/>
      <c r="FC746" s="1464"/>
      <c r="FD746" s="1463"/>
      <c r="FE746" s="1462" t="str">
        <f t="shared" si="33"/>
        <v/>
      </c>
      <c r="FF746" s="1464"/>
      <c r="FG746" s="1464"/>
      <c r="FH746" s="1464"/>
      <c r="FI746" s="1463"/>
      <c r="FJ746" s="1462" t="str">
        <f t="shared" si="34"/>
        <v/>
      </c>
      <c r="FK746" s="1464"/>
      <c r="FL746" s="1464"/>
      <c r="FM746" s="1464"/>
      <c r="FN746" s="1463"/>
      <c r="FO746" s="1462" t="str">
        <f t="shared" si="35"/>
        <v/>
      </c>
      <c r="FP746" s="1464"/>
      <c r="FQ746" s="1464"/>
      <c r="FR746" s="1464"/>
      <c r="FS746" s="1463"/>
      <c r="FT746" s="1462" t="str">
        <f t="shared" si="36"/>
        <v/>
      </c>
      <c r="FU746" s="1464"/>
      <c r="FV746" s="1464"/>
      <c r="FW746" s="1464"/>
      <c r="FX746" s="1463"/>
      <c r="FY746" s="1462" t="str">
        <f t="shared" si="37"/>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41"/>
        <v>0</v>
      </c>
      <c r="Y747" s="1353"/>
      <c r="Z747" s="1353"/>
      <c r="AA747" s="1353"/>
      <c r="AB747" s="1354"/>
      <c r="AC747" s="1359"/>
      <c r="AD747" s="1360"/>
      <c r="AE747" s="1360"/>
      <c r="AF747" s="1360"/>
      <c r="AG747" s="1361"/>
      <c r="AH747" s="1355" t="str">
        <f t="shared" si="38"/>
        <v/>
      </c>
      <c r="AI747" s="1356"/>
      <c r="AJ747" s="1357"/>
      <c r="AK747" s="1337" t="s">
        <v>590</v>
      </c>
      <c r="AL747" s="1338"/>
      <c r="AM747" s="1338"/>
      <c r="AN747" s="1338"/>
      <c r="AO747" s="1339"/>
      <c r="AP747" s="3"/>
      <c r="AQ747" s="3"/>
      <c r="AR747" s="3"/>
      <c r="AS747" s="3"/>
      <c r="AY747" s="1085"/>
      <c r="AZ747" s="118" t="str">
        <f t="shared" si="11"/>
        <v>N/A</v>
      </c>
      <c r="BA747" s="34"/>
      <c r="BB747" s="34"/>
      <c r="BC747" s="34"/>
      <c r="BD747" s="34"/>
      <c r="BE747" s="34"/>
      <c r="BF747" s="294">
        <f t="shared" si="12"/>
        <v>0</v>
      </c>
      <c r="BG747" s="297">
        <f t="shared" si="13"/>
        <v>0</v>
      </c>
      <c r="BH747" s="298" t="str">
        <f t="shared" si="14"/>
        <v/>
      </c>
      <c r="BI747" s="34"/>
      <c r="BJ747" s="34"/>
      <c r="BK747" s="34"/>
      <c r="BL747" s="34"/>
      <c r="BM747" s="34"/>
      <c r="BN747" s="34"/>
      <c r="BS747" s="294">
        <f t="shared" si="15"/>
        <v>0</v>
      </c>
      <c r="BT747" s="297">
        <f t="shared" si="16"/>
        <v>0</v>
      </c>
      <c r="BU747" s="298" t="str">
        <f t="shared" si="17"/>
        <v/>
      </c>
      <c r="BV747" s="3"/>
      <c r="BW747" s="3"/>
      <c r="BX747" s="3"/>
      <c r="BY747" s="3"/>
      <c r="BZ747" s="3"/>
      <c r="CA747" s="3"/>
      <c r="CB747" s="3"/>
      <c r="CC747" s="3"/>
      <c r="CE747" s="3"/>
      <c r="CF747" s="3"/>
      <c r="CG747" s="1462">
        <f t="shared" si="39"/>
        <v>0</v>
      </c>
      <c r="CH747" s="1463"/>
      <c r="CI747" s="1468">
        <f t="shared" si="40"/>
        <v>0</v>
      </c>
      <c r="CJ747" s="1469"/>
      <c r="CK747" s="1462">
        <f t="shared" si="18"/>
        <v>0</v>
      </c>
      <c r="CL747" s="1463"/>
      <c r="CM747" s="1468">
        <f t="shared" si="19"/>
        <v>0</v>
      </c>
      <c r="CN747" s="1469"/>
      <c r="CO747" s="3"/>
      <c r="CP747" s="1457">
        <f t="shared" si="20"/>
        <v>0</v>
      </c>
      <c r="CQ747" s="1458"/>
      <c r="CR747" s="1458"/>
      <c r="CS747" s="1458"/>
      <c r="CT747" s="1459"/>
      <c r="CU747" s="1442">
        <f t="shared" si="21"/>
        <v>0</v>
      </c>
      <c r="CV747" s="1442"/>
      <c r="CW747" s="1442"/>
      <c r="CX747" s="1442"/>
      <c r="CY747" s="1442"/>
      <c r="CZ747" s="1442">
        <f t="shared" si="22"/>
        <v>0</v>
      </c>
      <c r="DA747" s="1442"/>
      <c r="DB747" s="1442"/>
      <c r="DC747" s="1442"/>
      <c r="DD747" s="1442"/>
      <c r="DE747" s="1442">
        <f t="shared" si="23"/>
        <v>0</v>
      </c>
      <c r="DF747" s="1442"/>
      <c r="DG747" s="1442"/>
      <c r="DH747" s="1442"/>
      <c r="DI747" s="1442"/>
      <c r="DJ747" s="1442">
        <f t="shared" si="24"/>
        <v>0</v>
      </c>
      <c r="DK747" s="1442"/>
      <c r="DL747" s="1442"/>
      <c r="DM747" s="1442"/>
      <c r="DN747" s="1442"/>
      <c r="DO747" s="1442">
        <f t="shared" si="25"/>
        <v>0</v>
      </c>
      <c r="DP747" s="1442"/>
      <c r="DQ747" s="1442"/>
      <c r="DR747" s="1442"/>
      <c r="DS747" s="1442"/>
      <c r="DT747" s="6"/>
      <c r="DU747" s="1443">
        <f t="shared" si="26"/>
        <v>0</v>
      </c>
      <c r="DV747" s="1443"/>
      <c r="DW747" s="1443"/>
      <c r="DX747" s="1443"/>
      <c r="DY747" s="1443"/>
      <c r="DZ747" s="1443">
        <f t="shared" si="27"/>
        <v>0</v>
      </c>
      <c r="EA747" s="1443"/>
      <c r="EB747" s="1443"/>
      <c r="EC747" s="1443"/>
      <c r="ED747" s="1443"/>
      <c r="EE747" s="1443">
        <f t="shared" si="28"/>
        <v>0</v>
      </c>
      <c r="EF747" s="1443"/>
      <c r="EG747" s="1443"/>
      <c r="EH747" s="1443"/>
      <c r="EI747" s="1443"/>
      <c r="EJ747" s="1443">
        <f t="shared" si="29"/>
        <v>0</v>
      </c>
      <c r="EK747" s="1443"/>
      <c r="EL747" s="1443"/>
      <c r="EM747" s="1443"/>
      <c r="EN747" s="1443"/>
      <c r="EO747" s="1443">
        <f t="shared" si="30"/>
        <v>0</v>
      </c>
      <c r="EP747" s="1443"/>
      <c r="EQ747" s="1443"/>
      <c r="ER747" s="1443"/>
      <c r="ES747" s="1443"/>
      <c r="ET747" s="1443">
        <f t="shared" si="31"/>
        <v>0</v>
      </c>
      <c r="EU747" s="1443"/>
      <c r="EV747" s="1443"/>
      <c r="EW747" s="1443"/>
      <c r="EX747" s="1443"/>
      <c r="EZ747" s="1462" t="str">
        <f t="shared" si="32"/>
        <v/>
      </c>
      <c r="FA747" s="1464"/>
      <c r="FB747" s="1464"/>
      <c r="FC747" s="1464"/>
      <c r="FD747" s="1463"/>
      <c r="FE747" s="1462" t="str">
        <f t="shared" si="33"/>
        <v/>
      </c>
      <c r="FF747" s="1464"/>
      <c r="FG747" s="1464"/>
      <c r="FH747" s="1464"/>
      <c r="FI747" s="1463"/>
      <c r="FJ747" s="1462" t="str">
        <f t="shared" si="34"/>
        <v/>
      </c>
      <c r="FK747" s="1464"/>
      <c r="FL747" s="1464"/>
      <c r="FM747" s="1464"/>
      <c r="FN747" s="1463"/>
      <c r="FO747" s="1462" t="str">
        <f t="shared" si="35"/>
        <v/>
      </c>
      <c r="FP747" s="1464"/>
      <c r="FQ747" s="1464"/>
      <c r="FR747" s="1464"/>
      <c r="FS747" s="1463"/>
      <c r="FT747" s="1462" t="str">
        <f t="shared" si="36"/>
        <v/>
      </c>
      <c r="FU747" s="1464"/>
      <c r="FV747" s="1464"/>
      <c r="FW747" s="1464"/>
      <c r="FX747" s="1463"/>
      <c r="FY747" s="1462" t="str">
        <f t="shared" si="37"/>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41"/>
        <v>0</v>
      </c>
      <c r="Y748" s="1353"/>
      <c r="Z748" s="1353"/>
      <c r="AA748" s="1353"/>
      <c r="AB748" s="1354"/>
      <c r="AC748" s="1359"/>
      <c r="AD748" s="1360"/>
      <c r="AE748" s="1360"/>
      <c r="AF748" s="1360"/>
      <c r="AG748" s="1361"/>
      <c r="AH748" s="1355" t="str">
        <f t="shared" si="38"/>
        <v/>
      </c>
      <c r="AI748" s="1356"/>
      <c r="AJ748" s="1357"/>
      <c r="AK748" s="1337" t="s">
        <v>590</v>
      </c>
      <c r="AL748" s="1338"/>
      <c r="AM748" s="1338"/>
      <c r="AN748" s="1338"/>
      <c r="AO748" s="1339"/>
      <c r="AT748"/>
      <c r="AU748"/>
      <c r="AV748"/>
      <c r="AW748"/>
      <c r="AX748"/>
      <c r="AY748" s="1085"/>
      <c r="AZ748" s="118" t="str">
        <f t="shared" si="11"/>
        <v>N/A</v>
      </c>
      <c r="BA748" s="34"/>
      <c r="BB748" s="34"/>
      <c r="BC748" s="34"/>
      <c r="BD748" s="34"/>
      <c r="BE748" s="34"/>
      <c r="BF748" s="294">
        <f t="shared" si="12"/>
        <v>0</v>
      </c>
      <c r="BG748" s="297">
        <f t="shared" si="13"/>
        <v>0</v>
      </c>
      <c r="BH748" s="298" t="str">
        <f t="shared" si="14"/>
        <v/>
      </c>
      <c r="BJ748" s="34"/>
      <c r="BK748" s="34"/>
      <c r="BL748" s="34"/>
      <c r="BM748" s="34"/>
      <c r="BN748" s="34"/>
      <c r="BO748"/>
      <c r="BP748"/>
      <c r="BQ748"/>
      <c r="BR748"/>
      <c r="BS748" s="294">
        <f t="shared" si="15"/>
        <v>0</v>
      </c>
      <c r="BT748" s="297">
        <f t="shared" si="16"/>
        <v>0</v>
      </c>
      <c r="BU748" s="298" t="str">
        <f t="shared" si="17"/>
        <v/>
      </c>
      <c r="CD748"/>
      <c r="CG748" s="1462">
        <f t="shared" si="39"/>
        <v>0</v>
      </c>
      <c r="CH748" s="1463"/>
      <c r="CI748" s="1468">
        <f t="shared" si="40"/>
        <v>0</v>
      </c>
      <c r="CJ748" s="1469"/>
      <c r="CK748" s="1462">
        <f t="shared" si="18"/>
        <v>0</v>
      </c>
      <c r="CL748" s="1463"/>
      <c r="CM748" s="1468">
        <f t="shared" si="19"/>
        <v>0</v>
      </c>
      <c r="CN748" s="1469"/>
      <c r="CP748" s="1457">
        <f t="shared" si="20"/>
        <v>0</v>
      </c>
      <c r="CQ748" s="1458"/>
      <c r="CR748" s="1458"/>
      <c r="CS748" s="1458"/>
      <c r="CT748" s="1459"/>
      <c r="CU748" s="1442">
        <f t="shared" si="21"/>
        <v>0</v>
      </c>
      <c r="CV748" s="1442"/>
      <c r="CW748" s="1442"/>
      <c r="CX748" s="1442"/>
      <c r="CY748" s="1442"/>
      <c r="CZ748" s="1442">
        <f t="shared" si="22"/>
        <v>0</v>
      </c>
      <c r="DA748" s="1442"/>
      <c r="DB748" s="1442"/>
      <c r="DC748" s="1442"/>
      <c r="DD748" s="1442"/>
      <c r="DE748" s="1442">
        <f t="shared" si="23"/>
        <v>0</v>
      </c>
      <c r="DF748" s="1442"/>
      <c r="DG748" s="1442"/>
      <c r="DH748" s="1442"/>
      <c r="DI748" s="1442"/>
      <c r="DJ748" s="1442">
        <f t="shared" si="24"/>
        <v>0</v>
      </c>
      <c r="DK748" s="1442"/>
      <c r="DL748" s="1442"/>
      <c r="DM748" s="1442"/>
      <c r="DN748" s="1442"/>
      <c r="DO748" s="1442">
        <f t="shared" si="25"/>
        <v>0</v>
      </c>
      <c r="DP748" s="1442"/>
      <c r="DQ748" s="1442"/>
      <c r="DR748" s="1442"/>
      <c r="DS748" s="1442"/>
      <c r="DT748" s="6"/>
      <c r="DU748" s="1443">
        <f t="shared" si="26"/>
        <v>0</v>
      </c>
      <c r="DV748" s="1443"/>
      <c r="DW748" s="1443"/>
      <c r="DX748" s="1443"/>
      <c r="DY748" s="1443"/>
      <c r="DZ748" s="1443">
        <f t="shared" si="27"/>
        <v>0</v>
      </c>
      <c r="EA748" s="1443"/>
      <c r="EB748" s="1443"/>
      <c r="EC748" s="1443"/>
      <c r="ED748" s="1443"/>
      <c r="EE748" s="1443">
        <f t="shared" si="28"/>
        <v>0</v>
      </c>
      <c r="EF748" s="1443"/>
      <c r="EG748" s="1443"/>
      <c r="EH748" s="1443"/>
      <c r="EI748" s="1443"/>
      <c r="EJ748" s="1443">
        <f t="shared" si="29"/>
        <v>0</v>
      </c>
      <c r="EK748" s="1443"/>
      <c r="EL748" s="1443"/>
      <c r="EM748" s="1443"/>
      <c r="EN748" s="1443"/>
      <c r="EO748" s="1443">
        <f t="shared" si="30"/>
        <v>0</v>
      </c>
      <c r="EP748" s="1443"/>
      <c r="EQ748" s="1443"/>
      <c r="ER748" s="1443"/>
      <c r="ES748" s="1443"/>
      <c r="ET748" s="1443">
        <f t="shared" si="31"/>
        <v>0</v>
      </c>
      <c r="EU748" s="1443"/>
      <c r="EV748" s="1443"/>
      <c r="EW748" s="1443"/>
      <c r="EX748" s="1443"/>
      <c r="EY748"/>
      <c r="EZ748" s="1462" t="str">
        <f t="shared" si="32"/>
        <v/>
      </c>
      <c r="FA748" s="1464"/>
      <c r="FB748" s="1464"/>
      <c r="FC748" s="1464"/>
      <c r="FD748" s="1463"/>
      <c r="FE748" s="1462" t="str">
        <f t="shared" si="33"/>
        <v/>
      </c>
      <c r="FF748" s="1464"/>
      <c r="FG748" s="1464"/>
      <c r="FH748" s="1464"/>
      <c r="FI748" s="1463"/>
      <c r="FJ748" s="1462" t="str">
        <f t="shared" si="34"/>
        <v/>
      </c>
      <c r="FK748" s="1464"/>
      <c r="FL748" s="1464"/>
      <c r="FM748" s="1464"/>
      <c r="FN748" s="1463"/>
      <c r="FO748" s="1462" t="str">
        <f t="shared" si="35"/>
        <v/>
      </c>
      <c r="FP748" s="1464"/>
      <c r="FQ748" s="1464"/>
      <c r="FR748" s="1464"/>
      <c r="FS748" s="1463"/>
      <c r="FT748" s="1462" t="str">
        <f t="shared" si="36"/>
        <v/>
      </c>
      <c r="FU748" s="1464"/>
      <c r="FV748" s="1464"/>
      <c r="FW748" s="1464"/>
      <c r="FX748" s="1463"/>
      <c r="FY748" s="1462" t="str">
        <f t="shared" si="37"/>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41"/>
        <v>0</v>
      </c>
      <c r="Y749" s="1353"/>
      <c r="Z749" s="1353"/>
      <c r="AA749" s="1353"/>
      <c r="AB749" s="1354"/>
      <c r="AC749" s="1359"/>
      <c r="AD749" s="1360"/>
      <c r="AE749" s="1360"/>
      <c r="AF749" s="1360"/>
      <c r="AG749" s="1361"/>
      <c r="AH749" s="1355" t="str">
        <f t="shared" si="38"/>
        <v/>
      </c>
      <c r="AI749" s="1356"/>
      <c r="AJ749" s="1357"/>
      <c r="AK749" s="1337" t="s">
        <v>590</v>
      </c>
      <c r="AL749" s="1338"/>
      <c r="AM749" s="1338"/>
      <c r="AN749" s="1338"/>
      <c r="AO749" s="1339"/>
      <c r="AT749"/>
      <c r="AU749"/>
      <c r="AV749"/>
      <c r="AW749"/>
      <c r="AX749"/>
      <c r="AY749" s="1085"/>
      <c r="AZ749" s="118" t="str">
        <f t="shared" si="11"/>
        <v>N/A</v>
      </c>
      <c r="BA749" s="34"/>
      <c r="BB749" s="34"/>
      <c r="BC749" s="34"/>
      <c r="BD749" s="34"/>
      <c r="BE749" s="34"/>
      <c r="BF749" s="294">
        <f t="shared" si="12"/>
        <v>0</v>
      </c>
      <c r="BG749" s="297">
        <f t="shared" si="13"/>
        <v>0</v>
      </c>
      <c r="BH749" s="298" t="str">
        <f t="shared" si="14"/>
        <v/>
      </c>
      <c r="BJ749" s="34"/>
      <c r="BK749" s="34"/>
      <c r="BL749" s="34"/>
      <c r="BM749" s="34"/>
      <c r="BN749" s="34"/>
      <c r="BO749"/>
      <c r="BP749"/>
      <c r="BQ749"/>
      <c r="BR749"/>
      <c r="BS749" s="294">
        <f t="shared" si="15"/>
        <v>0</v>
      </c>
      <c r="BT749" s="297">
        <f t="shared" si="16"/>
        <v>0</v>
      </c>
      <c r="BU749" s="298" t="str">
        <f t="shared" si="17"/>
        <v/>
      </c>
      <c r="CD749"/>
      <c r="CG749" s="1462">
        <f t="shared" si="39"/>
        <v>0</v>
      </c>
      <c r="CH749" s="1463"/>
      <c r="CI749" s="1468">
        <f t="shared" si="40"/>
        <v>0</v>
      </c>
      <c r="CJ749" s="1469"/>
      <c r="CK749" s="1462">
        <f t="shared" si="18"/>
        <v>0</v>
      </c>
      <c r="CL749" s="1463"/>
      <c r="CM749" s="1468">
        <f t="shared" si="19"/>
        <v>0</v>
      </c>
      <c r="CN749" s="1469"/>
      <c r="CP749" s="1457">
        <f t="shared" si="20"/>
        <v>0</v>
      </c>
      <c r="CQ749" s="1458"/>
      <c r="CR749" s="1458"/>
      <c r="CS749" s="1458"/>
      <c r="CT749" s="1459"/>
      <c r="CU749" s="1442">
        <f t="shared" si="21"/>
        <v>0</v>
      </c>
      <c r="CV749" s="1442"/>
      <c r="CW749" s="1442"/>
      <c r="CX749" s="1442"/>
      <c r="CY749" s="1442"/>
      <c r="CZ749" s="1442">
        <f t="shared" si="22"/>
        <v>0</v>
      </c>
      <c r="DA749" s="1442"/>
      <c r="DB749" s="1442"/>
      <c r="DC749" s="1442"/>
      <c r="DD749" s="1442"/>
      <c r="DE749" s="1442">
        <f t="shared" si="23"/>
        <v>0</v>
      </c>
      <c r="DF749" s="1442"/>
      <c r="DG749" s="1442"/>
      <c r="DH749" s="1442"/>
      <c r="DI749" s="1442"/>
      <c r="DJ749" s="1442">
        <f t="shared" si="24"/>
        <v>0</v>
      </c>
      <c r="DK749" s="1442"/>
      <c r="DL749" s="1442"/>
      <c r="DM749" s="1442"/>
      <c r="DN749" s="1442"/>
      <c r="DO749" s="1442">
        <f t="shared" si="25"/>
        <v>0</v>
      </c>
      <c r="DP749" s="1442"/>
      <c r="DQ749" s="1442"/>
      <c r="DR749" s="1442"/>
      <c r="DS749" s="1442"/>
      <c r="DT749" s="6"/>
      <c r="DU749" s="1443">
        <f t="shared" si="26"/>
        <v>0</v>
      </c>
      <c r="DV749" s="1443"/>
      <c r="DW749" s="1443"/>
      <c r="DX749" s="1443"/>
      <c r="DY749" s="1443"/>
      <c r="DZ749" s="1443">
        <f t="shared" si="27"/>
        <v>0</v>
      </c>
      <c r="EA749" s="1443"/>
      <c r="EB749" s="1443"/>
      <c r="EC749" s="1443"/>
      <c r="ED749" s="1443"/>
      <c r="EE749" s="1443">
        <f t="shared" si="28"/>
        <v>0</v>
      </c>
      <c r="EF749" s="1443"/>
      <c r="EG749" s="1443"/>
      <c r="EH749" s="1443"/>
      <c r="EI749" s="1443"/>
      <c r="EJ749" s="1443">
        <f t="shared" si="29"/>
        <v>0</v>
      </c>
      <c r="EK749" s="1443"/>
      <c r="EL749" s="1443"/>
      <c r="EM749" s="1443"/>
      <c r="EN749" s="1443"/>
      <c r="EO749" s="1443">
        <f t="shared" si="30"/>
        <v>0</v>
      </c>
      <c r="EP749" s="1443"/>
      <c r="EQ749" s="1443"/>
      <c r="ER749" s="1443"/>
      <c r="ES749" s="1443"/>
      <c r="ET749" s="1443">
        <f t="shared" si="31"/>
        <v>0</v>
      </c>
      <c r="EU749" s="1443"/>
      <c r="EV749" s="1443"/>
      <c r="EW749" s="1443"/>
      <c r="EX749" s="1443"/>
      <c r="EY749"/>
      <c r="EZ749" s="1462" t="str">
        <f t="shared" si="32"/>
        <v/>
      </c>
      <c r="FA749" s="1464"/>
      <c r="FB749" s="1464"/>
      <c r="FC749" s="1464"/>
      <c r="FD749" s="1463"/>
      <c r="FE749" s="1462" t="str">
        <f t="shared" si="33"/>
        <v/>
      </c>
      <c r="FF749" s="1464"/>
      <c r="FG749" s="1464"/>
      <c r="FH749" s="1464"/>
      <c r="FI749" s="1463"/>
      <c r="FJ749" s="1462" t="str">
        <f t="shared" si="34"/>
        <v/>
      </c>
      <c r="FK749" s="1464"/>
      <c r="FL749" s="1464"/>
      <c r="FM749" s="1464"/>
      <c r="FN749" s="1463"/>
      <c r="FO749" s="1462" t="str">
        <f t="shared" si="35"/>
        <v/>
      </c>
      <c r="FP749" s="1464"/>
      <c r="FQ749" s="1464"/>
      <c r="FR749" s="1464"/>
      <c r="FS749" s="1463"/>
      <c r="FT749" s="1462" t="str">
        <f t="shared" si="36"/>
        <v/>
      </c>
      <c r="FU749" s="1464"/>
      <c r="FV749" s="1464"/>
      <c r="FW749" s="1464"/>
      <c r="FX749" s="1463"/>
      <c r="FY749" s="1462" t="str">
        <f t="shared" si="37"/>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41"/>
        <v>0</v>
      </c>
      <c r="Y750" s="1353"/>
      <c r="Z750" s="1353"/>
      <c r="AA750" s="1353"/>
      <c r="AB750" s="1354"/>
      <c r="AC750" s="1359"/>
      <c r="AD750" s="1360"/>
      <c r="AE750" s="1360"/>
      <c r="AF750" s="1360"/>
      <c r="AG750" s="1361"/>
      <c r="AH750" s="1355" t="str">
        <f t="shared" si="38"/>
        <v/>
      </c>
      <c r="AI750" s="1356"/>
      <c r="AJ750" s="1357"/>
      <c r="AK750" s="1337" t="s">
        <v>590</v>
      </c>
      <c r="AL750" s="1338"/>
      <c r="AM750" s="1338"/>
      <c r="AN750" s="1338"/>
      <c r="AO750" s="1339"/>
      <c r="AT750"/>
      <c r="AU750"/>
      <c r="AV750"/>
      <c r="AW750"/>
      <c r="AX750"/>
      <c r="AY750"/>
      <c r="AZ750" s="118" t="str">
        <f t="shared" si="11"/>
        <v>N/A</v>
      </c>
      <c r="BA750" s="34"/>
      <c r="BB750" s="34"/>
      <c r="BC750" s="34"/>
      <c r="BD750" s="34"/>
      <c r="BE750" s="34"/>
      <c r="BF750" s="294">
        <f t="shared" si="12"/>
        <v>0</v>
      </c>
      <c r="BG750" s="297">
        <f t="shared" si="13"/>
        <v>0</v>
      </c>
      <c r="BH750" s="298" t="str">
        <f t="shared" si="14"/>
        <v/>
      </c>
      <c r="BJ750" s="34"/>
      <c r="BK750" s="34"/>
      <c r="BL750" s="34"/>
      <c r="BM750" s="34"/>
      <c r="BN750" s="34"/>
      <c r="BO750"/>
      <c r="BP750"/>
      <c r="BQ750"/>
      <c r="BR750"/>
      <c r="BS750" s="294">
        <f t="shared" si="15"/>
        <v>0</v>
      </c>
      <c r="BT750" s="297">
        <f t="shared" si="16"/>
        <v>0</v>
      </c>
      <c r="BU750" s="298" t="str">
        <f t="shared" si="17"/>
        <v/>
      </c>
      <c r="CD750"/>
      <c r="CG750" s="1462">
        <f t="shared" si="39"/>
        <v>0</v>
      </c>
      <c r="CH750" s="1463"/>
      <c r="CI750" s="1468">
        <f t="shared" si="40"/>
        <v>0</v>
      </c>
      <c r="CJ750" s="1469"/>
      <c r="CK750" s="1462">
        <f t="shared" si="18"/>
        <v>0</v>
      </c>
      <c r="CL750" s="1463"/>
      <c r="CM750" s="1468">
        <f t="shared" si="19"/>
        <v>0</v>
      </c>
      <c r="CN750" s="1469"/>
      <c r="CP750" s="1457">
        <f t="shared" si="20"/>
        <v>0</v>
      </c>
      <c r="CQ750" s="1458"/>
      <c r="CR750" s="1458"/>
      <c r="CS750" s="1458"/>
      <c r="CT750" s="1459"/>
      <c r="CU750" s="1442">
        <f t="shared" si="21"/>
        <v>0</v>
      </c>
      <c r="CV750" s="1442"/>
      <c r="CW750" s="1442"/>
      <c r="CX750" s="1442"/>
      <c r="CY750" s="1442"/>
      <c r="CZ750" s="1442">
        <f t="shared" si="22"/>
        <v>0</v>
      </c>
      <c r="DA750" s="1442"/>
      <c r="DB750" s="1442"/>
      <c r="DC750" s="1442"/>
      <c r="DD750" s="1442"/>
      <c r="DE750" s="1442">
        <f t="shared" si="23"/>
        <v>0</v>
      </c>
      <c r="DF750" s="1442"/>
      <c r="DG750" s="1442"/>
      <c r="DH750" s="1442"/>
      <c r="DI750" s="1442"/>
      <c r="DJ750" s="1442">
        <f t="shared" si="24"/>
        <v>0</v>
      </c>
      <c r="DK750" s="1442"/>
      <c r="DL750" s="1442"/>
      <c r="DM750" s="1442"/>
      <c r="DN750" s="1442"/>
      <c r="DO750" s="1442">
        <f t="shared" si="25"/>
        <v>0</v>
      </c>
      <c r="DP750" s="1442"/>
      <c r="DQ750" s="1442"/>
      <c r="DR750" s="1442"/>
      <c r="DS750" s="1442"/>
      <c r="DT750" s="6"/>
      <c r="DU750" s="1443">
        <f t="shared" si="26"/>
        <v>0</v>
      </c>
      <c r="DV750" s="1443"/>
      <c r="DW750" s="1443"/>
      <c r="DX750" s="1443"/>
      <c r="DY750" s="1443"/>
      <c r="DZ750" s="1443">
        <f t="shared" si="27"/>
        <v>0</v>
      </c>
      <c r="EA750" s="1443"/>
      <c r="EB750" s="1443"/>
      <c r="EC750" s="1443"/>
      <c r="ED750" s="1443"/>
      <c r="EE750" s="1443">
        <f t="shared" si="28"/>
        <v>0</v>
      </c>
      <c r="EF750" s="1443"/>
      <c r="EG750" s="1443"/>
      <c r="EH750" s="1443"/>
      <c r="EI750" s="1443"/>
      <c r="EJ750" s="1443">
        <f t="shared" si="29"/>
        <v>0</v>
      </c>
      <c r="EK750" s="1443"/>
      <c r="EL750" s="1443"/>
      <c r="EM750" s="1443"/>
      <c r="EN750" s="1443"/>
      <c r="EO750" s="1443">
        <f t="shared" si="30"/>
        <v>0</v>
      </c>
      <c r="EP750" s="1443"/>
      <c r="EQ750" s="1443"/>
      <c r="ER750" s="1443"/>
      <c r="ES750" s="1443"/>
      <c r="ET750" s="1443">
        <f t="shared" si="31"/>
        <v>0</v>
      </c>
      <c r="EU750" s="1443"/>
      <c r="EV750" s="1443"/>
      <c r="EW750" s="1443"/>
      <c r="EX750" s="1443"/>
      <c r="EY750"/>
      <c r="EZ750" s="1462" t="str">
        <f t="shared" si="32"/>
        <v/>
      </c>
      <c r="FA750" s="1464"/>
      <c r="FB750" s="1464"/>
      <c r="FC750" s="1464"/>
      <c r="FD750" s="1463"/>
      <c r="FE750" s="1462" t="str">
        <f t="shared" si="33"/>
        <v/>
      </c>
      <c r="FF750" s="1464"/>
      <c r="FG750" s="1464"/>
      <c r="FH750" s="1464"/>
      <c r="FI750" s="1463"/>
      <c r="FJ750" s="1462" t="str">
        <f t="shared" si="34"/>
        <v/>
      </c>
      <c r="FK750" s="1464"/>
      <c r="FL750" s="1464"/>
      <c r="FM750" s="1464"/>
      <c r="FN750" s="1463"/>
      <c r="FO750" s="1462" t="str">
        <f t="shared" si="35"/>
        <v/>
      </c>
      <c r="FP750" s="1464"/>
      <c r="FQ750" s="1464"/>
      <c r="FR750" s="1464"/>
      <c r="FS750" s="1463"/>
      <c r="FT750" s="1462" t="str">
        <f t="shared" si="36"/>
        <v/>
      </c>
      <c r="FU750" s="1464"/>
      <c r="FV750" s="1464"/>
      <c r="FW750" s="1464"/>
      <c r="FX750" s="1463"/>
      <c r="FY750" s="1462" t="str">
        <f t="shared" si="37"/>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41"/>
        <v>0</v>
      </c>
      <c r="Y751" s="1353"/>
      <c r="Z751" s="1353"/>
      <c r="AA751" s="1353"/>
      <c r="AB751" s="1354"/>
      <c r="AC751" s="1359"/>
      <c r="AD751" s="1360"/>
      <c r="AE751" s="1360"/>
      <c r="AF751" s="1360"/>
      <c r="AG751" s="1361"/>
      <c r="AH751" s="1355" t="str">
        <f t="shared" si="38"/>
        <v/>
      </c>
      <c r="AI751" s="1356"/>
      <c r="AJ751" s="1357"/>
      <c r="AK751" s="1337" t="s">
        <v>590</v>
      </c>
      <c r="AL751" s="1338"/>
      <c r="AM751" s="1338"/>
      <c r="AN751" s="1338"/>
      <c r="AO751" s="1339"/>
      <c r="AT751"/>
      <c r="AU751"/>
      <c r="AV751"/>
      <c r="AW751"/>
      <c r="AX751"/>
      <c r="AY751"/>
      <c r="AZ751" s="118" t="str">
        <f t="shared" si="11"/>
        <v>N/A</v>
      </c>
      <c r="BA751" s="34"/>
      <c r="BB751" s="34"/>
      <c r="BC751" s="34"/>
      <c r="BD751" s="34"/>
      <c r="BE751" s="34"/>
      <c r="BF751" s="294">
        <f t="shared" si="12"/>
        <v>0</v>
      </c>
      <c r="BG751" s="297">
        <f t="shared" si="13"/>
        <v>0</v>
      </c>
      <c r="BH751" s="298" t="str">
        <f t="shared" si="14"/>
        <v/>
      </c>
      <c r="BJ751" s="34"/>
      <c r="BK751" s="34"/>
      <c r="BL751" s="34"/>
      <c r="BM751" s="34"/>
      <c r="BN751" s="34"/>
      <c r="BO751"/>
      <c r="BP751"/>
      <c r="BQ751"/>
      <c r="BR751"/>
      <c r="BS751" s="294">
        <f t="shared" si="15"/>
        <v>0</v>
      </c>
      <c r="BT751" s="297">
        <f t="shared" si="16"/>
        <v>0</v>
      </c>
      <c r="BU751" s="298" t="str">
        <f t="shared" si="17"/>
        <v/>
      </c>
      <c r="CD751"/>
      <c r="CG751" s="1462">
        <f t="shared" si="39"/>
        <v>0</v>
      </c>
      <c r="CH751" s="1463"/>
      <c r="CI751" s="1468">
        <f t="shared" si="40"/>
        <v>0</v>
      </c>
      <c r="CJ751" s="1469"/>
      <c r="CK751" s="1462">
        <f t="shared" si="18"/>
        <v>0</v>
      </c>
      <c r="CL751" s="1463"/>
      <c r="CM751" s="1468">
        <f t="shared" si="19"/>
        <v>0</v>
      </c>
      <c r="CN751" s="1469"/>
      <c r="CP751" s="1457">
        <f t="shared" si="20"/>
        <v>0</v>
      </c>
      <c r="CQ751" s="1458"/>
      <c r="CR751" s="1458"/>
      <c r="CS751" s="1458"/>
      <c r="CT751" s="1459"/>
      <c r="CU751" s="1442">
        <f t="shared" si="21"/>
        <v>0</v>
      </c>
      <c r="CV751" s="1442"/>
      <c r="CW751" s="1442"/>
      <c r="CX751" s="1442"/>
      <c r="CY751" s="1442"/>
      <c r="CZ751" s="1442">
        <f t="shared" si="22"/>
        <v>0</v>
      </c>
      <c r="DA751" s="1442"/>
      <c r="DB751" s="1442"/>
      <c r="DC751" s="1442"/>
      <c r="DD751" s="1442"/>
      <c r="DE751" s="1442">
        <f t="shared" si="23"/>
        <v>0</v>
      </c>
      <c r="DF751" s="1442"/>
      <c r="DG751" s="1442"/>
      <c r="DH751" s="1442"/>
      <c r="DI751" s="1442"/>
      <c r="DJ751" s="1442">
        <f t="shared" si="24"/>
        <v>0</v>
      </c>
      <c r="DK751" s="1442"/>
      <c r="DL751" s="1442"/>
      <c r="DM751" s="1442"/>
      <c r="DN751" s="1442"/>
      <c r="DO751" s="1442">
        <f t="shared" si="25"/>
        <v>0</v>
      </c>
      <c r="DP751" s="1442"/>
      <c r="DQ751" s="1442"/>
      <c r="DR751" s="1442"/>
      <c r="DS751" s="1442"/>
      <c r="DT751" s="6"/>
      <c r="DU751" s="1443">
        <f t="shared" si="26"/>
        <v>0</v>
      </c>
      <c r="DV751" s="1443"/>
      <c r="DW751" s="1443"/>
      <c r="DX751" s="1443"/>
      <c r="DY751" s="1443"/>
      <c r="DZ751" s="1443">
        <f t="shared" si="27"/>
        <v>0</v>
      </c>
      <c r="EA751" s="1443"/>
      <c r="EB751" s="1443"/>
      <c r="EC751" s="1443"/>
      <c r="ED751" s="1443"/>
      <c r="EE751" s="1443">
        <f t="shared" si="28"/>
        <v>0</v>
      </c>
      <c r="EF751" s="1443"/>
      <c r="EG751" s="1443"/>
      <c r="EH751" s="1443"/>
      <c r="EI751" s="1443"/>
      <c r="EJ751" s="1443">
        <f t="shared" si="29"/>
        <v>0</v>
      </c>
      <c r="EK751" s="1443"/>
      <c r="EL751" s="1443"/>
      <c r="EM751" s="1443"/>
      <c r="EN751" s="1443"/>
      <c r="EO751" s="1443">
        <f t="shared" si="30"/>
        <v>0</v>
      </c>
      <c r="EP751" s="1443"/>
      <c r="EQ751" s="1443"/>
      <c r="ER751" s="1443"/>
      <c r="ES751" s="1443"/>
      <c r="ET751" s="1443">
        <f t="shared" si="31"/>
        <v>0</v>
      </c>
      <c r="EU751" s="1443"/>
      <c r="EV751" s="1443"/>
      <c r="EW751" s="1443"/>
      <c r="EX751" s="1443"/>
      <c r="EY751"/>
      <c r="EZ751" s="1462" t="str">
        <f t="shared" si="32"/>
        <v/>
      </c>
      <c r="FA751" s="1464"/>
      <c r="FB751" s="1464"/>
      <c r="FC751" s="1464"/>
      <c r="FD751" s="1463"/>
      <c r="FE751" s="1462" t="str">
        <f t="shared" si="33"/>
        <v/>
      </c>
      <c r="FF751" s="1464"/>
      <c r="FG751" s="1464"/>
      <c r="FH751" s="1464"/>
      <c r="FI751" s="1463"/>
      <c r="FJ751" s="1462" t="str">
        <f t="shared" si="34"/>
        <v/>
      </c>
      <c r="FK751" s="1464"/>
      <c r="FL751" s="1464"/>
      <c r="FM751" s="1464"/>
      <c r="FN751" s="1463"/>
      <c r="FO751" s="1462" t="str">
        <f t="shared" si="35"/>
        <v/>
      </c>
      <c r="FP751" s="1464"/>
      <c r="FQ751" s="1464"/>
      <c r="FR751" s="1464"/>
      <c r="FS751" s="1463"/>
      <c r="FT751" s="1462" t="str">
        <f t="shared" si="36"/>
        <v/>
      </c>
      <c r="FU751" s="1464"/>
      <c r="FV751" s="1464"/>
      <c r="FW751" s="1464"/>
      <c r="FX751" s="1463"/>
      <c r="FY751" s="1462" t="str">
        <f t="shared" si="37"/>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8"/>
        <v/>
      </c>
      <c r="AI752" s="1356"/>
      <c r="AJ752" s="1357"/>
      <c r="AK752" s="1337" t="s">
        <v>590</v>
      </c>
      <c r="AL752" s="1338"/>
      <c r="AM752" s="1338"/>
      <c r="AN752" s="1338"/>
      <c r="AO752" s="1339"/>
      <c r="AT752"/>
      <c r="AU752"/>
      <c r="AV752"/>
      <c r="AW752"/>
      <c r="AX752"/>
      <c r="AY752"/>
      <c r="AZ752" s="118" t="str">
        <f t="shared" si="11"/>
        <v>N/A</v>
      </c>
      <c r="BA752" s="34"/>
      <c r="BB752" s="34"/>
      <c r="BC752" s="34"/>
      <c r="BE752"/>
      <c r="BF752" s="294">
        <f t="shared" si="12"/>
        <v>0</v>
      </c>
      <c r="BG752" s="297">
        <f t="shared" si="13"/>
        <v>0</v>
      </c>
      <c r="BH752" s="298" t="str">
        <f t="shared" si="14"/>
        <v/>
      </c>
      <c r="BJ752" s="34"/>
      <c r="BK752" s="34"/>
      <c r="BL752" s="34"/>
      <c r="BM752" s="34"/>
      <c r="BN752" s="34"/>
      <c r="BO752"/>
      <c r="BP752"/>
      <c r="BQ752"/>
      <c r="BR752"/>
      <c r="BS752" s="860">
        <f t="shared" si="15"/>
        <v>0</v>
      </c>
      <c r="BT752" s="297">
        <f t="shared" si="16"/>
        <v>0</v>
      </c>
      <c r="BU752" s="298" t="str">
        <f t="shared" si="17"/>
        <v/>
      </c>
      <c r="CD752"/>
      <c r="CG752" s="1462">
        <f t="shared" si="39"/>
        <v>0</v>
      </c>
      <c r="CH752" s="1463"/>
      <c r="CI752" s="1468">
        <f t="shared" si="40"/>
        <v>0</v>
      </c>
      <c r="CJ752" s="1469"/>
      <c r="CK752" s="1462">
        <f t="shared" si="18"/>
        <v>0</v>
      </c>
      <c r="CL752" s="1463"/>
      <c r="CM752" s="1468">
        <f t="shared" si="19"/>
        <v>0</v>
      </c>
      <c r="CN752" s="1469"/>
      <c r="CP752" s="1457">
        <f t="shared" si="20"/>
        <v>0</v>
      </c>
      <c r="CQ752" s="1458"/>
      <c r="CR752" s="1458"/>
      <c r="CS752" s="1458"/>
      <c r="CT752" s="1459"/>
      <c r="CU752" s="1442">
        <f t="shared" si="21"/>
        <v>0</v>
      </c>
      <c r="CV752" s="1442"/>
      <c r="CW752" s="1442"/>
      <c r="CX752" s="1442"/>
      <c r="CY752" s="1442"/>
      <c r="CZ752" s="1442">
        <f t="shared" si="22"/>
        <v>0</v>
      </c>
      <c r="DA752" s="1442"/>
      <c r="DB752" s="1442"/>
      <c r="DC752" s="1442"/>
      <c r="DD752" s="1442"/>
      <c r="DE752" s="1442">
        <f t="shared" si="23"/>
        <v>0</v>
      </c>
      <c r="DF752" s="1442"/>
      <c r="DG752" s="1442"/>
      <c r="DH752" s="1442"/>
      <c r="DI752" s="1442"/>
      <c r="DJ752" s="1442">
        <f t="shared" si="24"/>
        <v>0</v>
      </c>
      <c r="DK752" s="1442"/>
      <c r="DL752" s="1442"/>
      <c r="DM752" s="1442"/>
      <c r="DN752" s="1442"/>
      <c r="DO752" s="1442">
        <f t="shared" si="25"/>
        <v>0</v>
      </c>
      <c r="DP752" s="1442"/>
      <c r="DQ752" s="1442"/>
      <c r="DR752" s="1442"/>
      <c r="DS752" s="1442"/>
      <c r="DT752" s="6"/>
      <c r="DU752" s="1443">
        <f t="shared" si="26"/>
        <v>0</v>
      </c>
      <c r="DV752" s="1443"/>
      <c r="DW752" s="1443"/>
      <c r="DX752" s="1443"/>
      <c r="DY752" s="1443"/>
      <c r="DZ752" s="1443">
        <f t="shared" si="27"/>
        <v>0</v>
      </c>
      <c r="EA752" s="1443"/>
      <c r="EB752" s="1443"/>
      <c r="EC752" s="1443"/>
      <c r="ED752" s="1443"/>
      <c r="EE752" s="1443">
        <f t="shared" si="28"/>
        <v>0</v>
      </c>
      <c r="EF752" s="1443"/>
      <c r="EG752" s="1443"/>
      <c r="EH752" s="1443"/>
      <c r="EI752" s="1443"/>
      <c r="EJ752" s="1443">
        <f t="shared" si="29"/>
        <v>0</v>
      </c>
      <c r="EK752" s="1443"/>
      <c r="EL752" s="1443"/>
      <c r="EM752" s="1443"/>
      <c r="EN752" s="1443"/>
      <c r="EO752" s="1443">
        <f t="shared" si="30"/>
        <v>0</v>
      </c>
      <c r="EP752" s="1443"/>
      <c r="EQ752" s="1443"/>
      <c r="ER752" s="1443"/>
      <c r="ES752" s="1443"/>
      <c r="ET752" s="1443">
        <f t="shared" si="31"/>
        <v>0</v>
      </c>
      <c r="EU752" s="1443"/>
      <c r="EV752" s="1443"/>
      <c r="EW752" s="1443"/>
      <c r="EX752" s="1443"/>
      <c r="EY752"/>
      <c r="EZ752" s="1462" t="str">
        <f t="shared" si="32"/>
        <v/>
      </c>
      <c r="FA752" s="1464"/>
      <c r="FB752" s="1464"/>
      <c r="FC752" s="1464"/>
      <c r="FD752" s="1463"/>
      <c r="FE752" s="1462" t="str">
        <f t="shared" si="33"/>
        <v/>
      </c>
      <c r="FF752" s="1464"/>
      <c r="FG752" s="1464"/>
      <c r="FH752" s="1464"/>
      <c r="FI752" s="1463"/>
      <c r="FJ752" s="1462" t="str">
        <f t="shared" si="34"/>
        <v/>
      </c>
      <c r="FK752" s="1464"/>
      <c r="FL752" s="1464"/>
      <c r="FM752" s="1464"/>
      <c r="FN752" s="1463"/>
      <c r="FO752" s="1462" t="str">
        <f t="shared" si="35"/>
        <v/>
      </c>
      <c r="FP752" s="1464"/>
      <c r="FQ752" s="1464"/>
      <c r="FR752" s="1464"/>
      <c r="FS752" s="1463"/>
      <c r="FT752" s="1462" t="str">
        <f t="shared" si="36"/>
        <v/>
      </c>
      <c r="FU752" s="1464"/>
      <c r="FV752" s="1464"/>
      <c r="FW752" s="1464"/>
      <c r="FX752" s="1463"/>
      <c r="FY752" s="1462" t="str">
        <f t="shared" si="37"/>
        <v/>
      </c>
      <c r="FZ752" s="1464"/>
      <c r="GA752" s="1464"/>
      <c r="GB752" s="1464"/>
      <c r="GC752" s="1463"/>
    </row>
    <row r="753" spans="1:185" s="3" customFormat="1" ht="12.95" customHeight="1">
      <c r="A753"/>
      <c r="B753" s="1448" t="s">
        <v>125</v>
      </c>
      <c r="C753" s="1449"/>
      <c r="D753" s="1449"/>
      <c r="E753" s="1449"/>
      <c r="F753" s="1450"/>
      <c r="G753" s="1620">
        <f>SUM(G718:G752)</f>
        <v>147</v>
      </c>
      <c r="H753" s="1621"/>
      <c r="I753" s="1621"/>
      <c r="J753" s="1622"/>
      <c r="K753" s="902" t="s">
        <v>124</v>
      </c>
      <c r="L753" s="5"/>
      <c r="M753" s="5"/>
      <c r="N753" s="46"/>
      <c r="O753" s="1352">
        <f>SUMPRODUCT(G718:G752,O718:O752)</f>
        <v>178105</v>
      </c>
      <c r="P753" s="1353"/>
      <c r="Q753" s="1353"/>
      <c r="R753" s="1353"/>
      <c r="S753" s="1354"/>
      <c r="T753"/>
      <c r="U753"/>
      <c r="V753"/>
      <c r="W753"/>
      <c r="X753" s="904" t="s">
        <v>899</v>
      </c>
      <c r="Y753" s="903"/>
      <c r="Z753" s="903"/>
      <c r="AA753" s="903"/>
      <c r="AB753" s="905"/>
      <c r="AC753" s="1603">
        <f>BH753</f>
        <v>0.45102040816326527</v>
      </c>
      <c r="AD753" s="1604"/>
      <c r="AE753" s="1604"/>
      <c r="AF753" s="1604"/>
      <c r="AG753" s="1605"/>
      <c r="AH753" s="1603">
        <f>IFERROR(BU753,"")</f>
        <v>0.4095153199608309</v>
      </c>
      <c r="AI753" s="1604"/>
      <c r="AJ753" s="1605"/>
      <c r="AK753"/>
      <c r="AL753"/>
      <c r="AM753"/>
      <c r="AN753"/>
      <c r="AO753"/>
      <c r="AP753" s="205"/>
      <c r="AQ753" s="205"/>
      <c r="AR753" s="205"/>
      <c r="AS753" s="205"/>
      <c r="AT753"/>
      <c r="AU753"/>
      <c r="AV753"/>
      <c r="AW753"/>
      <c r="AX753"/>
      <c r="AY753"/>
      <c r="AZ753" s="34"/>
      <c r="BA753" s="34"/>
      <c r="BB753" s="34"/>
      <c r="BC753" s="34"/>
      <c r="BE753" s="290" t="s">
        <v>898</v>
      </c>
      <c r="BF753" s="299">
        <f>SUM(BF718:BF752)</f>
        <v>147</v>
      </c>
      <c r="BG753" s="300">
        <f>SUM(BG718:BG752)</f>
        <v>1</v>
      </c>
      <c r="BH753" s="300">
        <f>SUM(BH718:BH752)</f>
        <v>0.45102040816326527</v>
      </c>
      <c r="BI753"/>
      <c r="BJ753"/>
      <c r="BK753"/>
      <c r="BL753"/>
      <c r="BO753"/>
      <c r="BP753"/>
      <c r="BQ753"/>
      <c r="BR753"/>
      <c r="BS753" s="859">
        <f>SUM(BS718:BS752)</f>
        <v>147</v>
      </c>
      <c r="BT753" s="300">
        <f>SUM(BT718:BT752)</f>
        <v>1</v>
      </c>
      <c r="BU753" s="300">
        <f>SUM(BU718:BU752)</f>
        <v>0.4095153199608309</v>
      </c>
      <c r="CI753" s="1462">
        <f>SUM(CI718:CJ752)</f>
        <v>0</v>
      </c>
      <c r="CJ753" s="1463"/>
      <c r="CM753" s="1462">
        <f>SUM(CM718:CN752)</f>
        <v>73</v>
      </c>
      <c r="CN753" s="1463"/>
      <c r="CP753" s="1462">
        <f>SUM(CP718:CT752)</f>
        <v>99</v>
      </c>
      <c r="CQ753" s="1464"/>
      <c r="CR753" s="1464"/>
      <c r="CS753" s="1464"/>
      <c r="CT753" s="1463"/>
      <c r="CU753" s="1460">
        <f>SUM(CU718:CY752)</f>
        <v>48</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49</v>
      </c>
      <c r="DV753" s="1460"/>
      <c r="DW753" s="1460"/>
      <c r="DX753" s="1460"/>
      <c r="DY753" s="1460"/>
      <c r="DZ753" s="1460">
        <f>SUM(DZ718:ED752)</f>
        <v>24</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2968</v>
      </c>
      <c r="FA753" s="1460"/>
      <c r="FB753" s="1460"/>
      <c r="FC753" s="1460"/>
      <c r="FD753" s="1460"/>
      <c r="FE753" s="1460">
        <f>SUM(FE718:FI752)</f>
        <v>3304</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1892</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1859</v>
      </c>
      <c r="DO754" s="1462">
        <f>CP753+CU753+CZ753+DE753+DJ753+DO753</f>
        <v>147</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99</v>
      </c>
      <c r="CU755" s="3"/>
      <c r="CV755" s="3"/>
      <c r="CW755" s="3"/>
      <c r="CX755" s="3"/>
      <c r="CY755" s="861">
        <f>CU753*1</f>
        <v>48</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147</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460">
        <f>DU755</f>
        <v>147</v>
      </c>
      <c r="P756" s="1460"/>
      <c r="Q756" s="1460"/>
      <c r="R756" s="1460"/>
      <c r="S756" s="969"/>
      <c r="T756" s="969"/>
      <c r="U756" s="118" t="s">
        <v>1891</v>
      </c>
      <c r="V756" s="1032"/>
      <c r="W756" s="1032"/>
      <c r="X756" s="1032"/>
      <c r="Y756" s="1033"/>
      <c r="Z756" s="1033"/>
      <c r="AA756" s="1033"/>
      <c r="AB756" s="1033"/>
      <c r="AC756" s="1032"/>
      <c r="AD756" s="1032"/>
      <c r="AE756" s="1032"/>
      <c r="AF756" s="1032"/>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590</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8" t="s">
        <v>285</v>
      </c>
      <c r="P769" s="1618"/>
      <c r="Q769" s="1618"/>
      <c r="R769" s="1618"/>
      <c r="S769" s="1618"/>
      <c r="T769" s="1719" t="s">
        <v>1678</v>
      </c>
      <c r="U769" s="1720"/>
      <c r="V769" s="1720"/>
      <c r="W769" s="1721"/>
      <c r="X769" s="1362" t="s">
        <v>446</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325</v>
      </c>
      <c r="K773" s="1338"/>
      <c r="L773" s="1338"/>
      <c r="M773" s="1338"/>
      <c r="N773" s="1339"/>
      <c r="O773" s="1612">
        <v>2</v>
      </c>
      <c r="P773" s="1612"/>
      <c r="Q773" s="1612"/>
      <c r="R773" s="1612"/>
      <c r="S773" s="1612"/>
      <c r="T773" s="1343">
        <v>507</v>
      </c>
      <c r="U773" s="1344"/>
      <c r="V773" s="1344"/>
      <c r="W773" s="1345"/>
      <c r="X773" s="1340">
        <v>0</v>
      </c>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0</v>
      </c>
      <c r="CQ773" s="1458"/>
      <c r="CR773" s="1458"/>
      <c r="CS773" s="1458"/>
      <c r="CT773" s="1459"/>
      <c r="CU773" s="1442">
        <f>IF(J773="1 Bedroom",O773,0)</f>
        <v>2</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2</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0</v>
      </c>
      <c r="CQ777" s="1470"/>
      <c r="CR777" s="1470"/>
      <c r="CS777" s="1470"/>
      <c r="CT777" s="1469"/>
      <c r="CU777" s="1471">
        <f>SUM(CU773:CY776)</f>
        <v>2</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2</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1860</v>
      </c>
    </row>
    <row r="779" spans="1:126" ht="12.95" customHeight="1">
      <c r="B779" s="56"/>
      <c r="C779" s="56"/>
      <c r="D779" s="56"/>
      <c r="E779" s="56"/>
      <c r="F779" s="56"/>
      <c r="G779" s="6"/>
      <c r="H779" s="6"/>
      <c r="I779" s="6"/>
      <c r="J779" s="1662" t="s">
        <v>668</v>
      </c>
      <c r="K779" s="1662"/>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8" t="s">
        <v>285</v>
      </c>
      <c r="P783" s="1618"/>
      <c r="Q783" s="1618"/>
      <c r="R783" s="1618"/>
      <c r="S783" s="1618"/>
      <c r="T783" s="1719" t="s">
        <v>1678</v>
      </c>
      <c r="U783" s="1720"/>
      <c r="V783" s="1720"/>
      <c r="W783" s="1721"/>
      <c r="X783" s="1362" t="s">
        <v>446</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2">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3">IF(J787="SRO/Studio",O787,0)</f>
        <v>0</v>
      </c>
      <c r="CQ787" s="1458"/>
      <c r="CR787" s="1458"/>
      <c r="CS787" s="1458"/>
      <c r="CT787" s="1459"/>
      <c r="CU787" s="1457">
        <f t="shared" ref="CU787:CU796" si="44">IF(J787="1 Bedroom",O787,0)</f>
        <v>0</v>
      </c>
      <c r="CV787" s="1458"/>
      <c r="CW787" s="1458"/>
      <c r="CX787" s="1458"/>
      <c r="CY787" s="1459"/>
      <c r="CZ787" s="1457">
        <f t="shared" ref="CZ787:CZ796" si="45">IF(J787="2 Bedrooms",O787,0)</f>
        <v>0</v>
      </c>
      <c r="DA787" s="1458"/>
      <c r="DB787" s="1458"/>
      <c r="DC787" s="1458"/>
      <c r="DD787" s="1459"/>
      <c r="DE787" s="1457">
        <f t="shared" ref="DE787:DE796" si="46">IF(J787="3 Bedrooms",O787,0)</f>
        <v>0</v>
      </c>
      <c r="DF787" s="1458"/>
      <c r="DG787" s="1458"/>
      <c r="DH787" s="1458"/>
      <c r="DI787" s="1459"/>
      <c r="DJ787" s="1457">
        <f t="shared" ref="DJ787:DJ796" si="47">IF(J787="4 Bedrooms",O787,0)</f>
        <v>0</v>
      </c>
      <c r="DK787" s="1458"/>
      <c r="DL787" s="1458"/>
      <c r="DM787" s="1458"/>
      <c r="DN787" s="1459"/>
      <c r="DO787" s="1457">
        <f t="shared" ref="DO787:DO796" si="48">IF(J787="5 Bedrooms",O787,0)</f>
        <v>0</v>
      </c>
      <c r="DP787" s="1458"/>
      <c r="DQ787" s="1458"/>
      <c r="DR787" s="1458"/>
      <c r="DS787" s="1459"/>
      <c r="DT787" s="6"/>
      <c r="DU787" s="1457">
        <f t="shared" ref="DU787:DU796" si="49">IF(AND(CP787&gt;=1,AH787&gt;=0.1,AH787&lt;=1),O787,0)</f>
        <v>0</v>
      </c>
      <c r="DV787" s="1458"/>
      <c r="DW787" s="1458"/>
      <c r="DX787" s="1458"/>
      <c r="DY787" s="1459"/>
      <c r="DZ787" s="1457">
        <f t="shared" ref="DZ787:DZ796" si="50">IF(AND(CU787&gt;=1,AH787&gt;=0.1,AH787&lt;=1),O787,0)</f>
        <v>0</v>
      </c>
      <c r="EA787" s="1458"/>
      <c r="EB787" s="1458"/>
      <c r="EC787" s="1458"/>
      <c r="ED787" s="1459"/>
      <c r="EE787" s="1457">
        <f t="shared" ref="EE787:EE796" si="51">IF(AND(CZ787&gt;=1,AH787&gt;=0.1,AH787&lt;=1),O787,0)</f>
        <v>0</v>
      </c>
      <c r="EF787" s="1458"/>
      <c r="EG787" s="1458"/>
      <c r="EH787" s="1458"/>
      <c r="EI787" s="1459"/>
      <c r="EJ787" s="1457">
        <f t="shared" ref="EJ787:EJ796" si="52">IF(AND(DE787&gt;=1,AH787&gt;=0.1,AH787&lt;=1),O787,0)</f>
        <v>0</v>
      </c>
      <c r="EK787" s="1458"/>
      <c r="EL787" s="1458"/>
      <c r="EM787" s="1458"/>
      <c r="EN787" s="1459"/>
      <c r="EO787" s="1457">
        <f t="shared" ref="EO787:EO796" si="53">IF(AND(DJ787&gt;=1,AH787&gt;=0.1,AH787&lt;=1),O787,0)</f>
        <v>0</v>
      </c>
      <c r="EP787" s="1458"/>
      <c r="EQ787" s="1458"/>
      <c r="ER787" s="1458"/>
      <c r="ES787" s="1459"/>
      <c r="ET787" s="1457">
        <f t="shared" ref="ET787:ET796" si="54">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2"/>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3"/>
        <v>0</v>
      </c>
      <c r="CQ788" s="1458"/>
      <c r="CR788" s="1458"/>
      <c r="CS788" s="1458"/>
      <c r="CT788" s="1459"/>
      <c r="CU788" s="1457">
        <f t="shared" si="44"/>
        <v>0</v>
      </c>
      <c r="CV788" s="1458"/>
      <c r="CW788" s="1458"/>
      <c r="CX788" s="1458"/>
      <c r="CY788" s="1459"/>
      <c r="CZ788" s="1457">
        <f t="shared" si="45"/>
        <v>0</v>
      </c>
      <c r="DA788" s="1458"/>
      <c r="DB788" s="1458"/>
      <c r="DC788" s="1458"/>
      <c r="DD788" s="1459"/>
      <c r="DE788" s="1457">
        <f t="shared" si="46"/>
        <v>0</v>
      </c>
      <c r="DF788" s="1458"/>
      <c r="DG788" s="1458"/>
      <c r="DH788" s="1458"/>
      <c r="DI788" s="1459"/>
      <c r="DJ788" s="1457">
        <f t="shared" si="47"/>
        <v>0</v>
      </c>
      <c r="DK788" s="1458"/>
      <c r="DL788" s="1458"/>
      <c r="DM788" s="1458"/>
      <c r="DN788" s="1459"/>
      <c r="DO788" s="1457">
        <f t="shared" si="48"/>
        <v>0</v>
      </c>
      <c r="DP788" s="1458"/>
      <c r="DQ788" s="1458"/>
      <c r="DR788" s="1458"/>
      <c r="DS788" s="1459"/>
      <c r="DT788" s="6"/>
      <c r="DU788" s="1457">
        <f t="shared" si="49"/>
        <v>0</v>
      </c>
      <c r="DV788" s="1458"/>
      <c r="DW788" s="1458"/>
      <c r="DX788" s="1458"/>
      <c r="DY788" s="1459"/>
      <c r="DZ788" s="1457">
        <f t="shared" si="50"/>
        <v>0</v>
      </c>
      <c r="EA788" s="1458"/>
      <c r="EB788" s="1458"/>
      <c r="EC788" s="1458"/>
      <c r="ED788" s="1459"/>
      <c r="EE788" s="1457">
        <f t="shared" si="51"/>
        <v>0</v>
      </c>
      <c r="EF788" s="1458"/>
      <c r="EG788" s="1458"/>
      <c r="EH788" s="1458"/>
      <c r="EI788" s="1459"/>
      <c r="EJ788" s="1457">
        <f t="shared" si="52"/>
        <v>0</v>
      </c>
      <c r="EK788" s="1458"/>
      <c r="EL788" s="1458"/>
      <c r="EM788" s="1458"/>
      <c r="EN788" s="1459"/>
      <c r="EO788" s="1457">
        <f t="shared" si="53"/>
        <v>0</v>
      </c>
      <c r="EP788" s="1458"/>
      <c r="EQ788" s="1458"/>
      <c r="ER788" s="1458"/>
      <c r="ES788" s="1459"/>
      <c r="ET788" s="1457">
        <f t="shared" si="54"/>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2"/>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3"/>
        <v>0</v>
      </c>
      <c r="CQ789" s="1458"/>
      <c r="CR789" s="1458"/>
      <c r="CS789" s="1458"/>
      <c r="CT789" s="1459"/>
      <c r="CU789" s="1457">
        <f t="shared" si="44"/>
        <v>0</v>
      </c>
      <c r="CV789" s="1458"/>
      <c r="CW789" s="1458"/>
      <c r="CX789" s="1458"/>
      <c r="CY789" s="1459"/>
      <c r="CZ789" s="1457">
        <f t="shared" si="45"/>
        <v>0</v>
      </c>
      <c r="DA789" s="1458"/>
      <c r="DB789" s="1458"/>
      <c r="DC789" s="1458"/>
      <c r="DD789" s="1459"/>
      <c r="DE789" s="1457">
        <f t="shared" si="46"/>
        <v>0</v>
      </c>
      <c r="DF789" s="1458"/>
      <c r="DG789" s="1458"/>
      <c r="DH789" s="1458"/>
      <c r="DI789" s="1459"/>
      <c r="DJ789" s="1457">
        <f t="shared" si="47"/>
        <v>0</v>
      </c>
      <c r="DK789" s="1458"/>
      <c r="DL789" s="1458"/>
      <c r="DM789" s="1458"/>
      <c r="DN789" s="1459"/>
      <c r="DO789" s="1457">
        <f t="shared" si="48"/>
        <v>0</v>
      </c>
      <c r="DP789" s="1458"/>
      <c r="DQ789" s="1458"/>
      <c r="DR789" s="1458"/>
      <c r="DS789" s="1459"/>
      <c r="DT789" s="6"/>
      <c r="DU789" s="1457">
        <f t="shared" si="49"/>
        <v>0</v>
      </c>
      <c r="DV789" s="1458"/>
      <c r="DW789" s="1458"/>
      <c r="DX789" s="1458"/>
      <c r="DY789" s="1459"/>
      <c r="DZ789" s="1457">
        <f t="shared" si="50"/>
        <v>0</v>
      </c>
      <c r="EA789" s="1458"/>
      <c r="EB789" s="1458"/>
      <c r="EC789" s="1458"/>
      <c r="ED789" s="1459"/>
      <c r="EE789" s="1457">
        <f t="shared" si="51"/>
        <v>0</v>
      </c>
      <c r="EF789" s="1458"/>
      <c r="EG789" s="1458"/>
      <c r="EH789" s="1458"/>
      <c r="EI789" s="1459"/>
      <c r="EJ789" s="1457">
        <f t="shared" si="52"/>
        <v>0</v>
      </c>
      <c r="EK789" s="1458"/>
      <c r="EL789" s="1458"/>
      <c r="EM789" s="1458"/>
      <c r="EN789" s="1459"/>
      <c r="EO789" s="1457">
        <f t="shared" si="53"/>
        <v>0</v>
      </c>
      <c r="EP789" s="1458"/>
      <c r="EQ789" s="1458"/>
      <c r="ER789" s="1458"/>
      <c r="ES789" s="1459"/>
      <c r="ET789" s="1457">
        <f t="shared" si="54"/>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2"/>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3"/>
        <v>0</v>
      </c>
      <c r="CQ790" s="1458"/>
      <c r="CR790" s="1458"/>
      <c r="CS790" s="1458"/>
      <c r="CT790" s="1459"/>
      <c r="CU790" s="1457">
        <f t="shared" si="44"/>
        <v>0</v>
      </c>
      <c r="CV790" s="1458"/>
      <c r="CW790" s="1458"/>
      <c r="CX790" s="1458"/>
      <c r="CY790" s="1459"/>
      <c r="CZ790" s="1457">
        <f t="shared" si="45"/>
        <v>0</v>
      </c>
      <c r="DA790" s="1458"/>
      <c r="DB790" s="1458"/>
      <c r="DC790" s="1458"/>
      <c r="DD790" s="1459"/>
      <c r="DE790" s="1457">
        <f t="shared" si="46"/>
        <v>0</v>
      </c>
      <c r="DF790" s="1458"/>
      <c r="DG790" s="1458"/>
      <c r="DH790" s="1458"/>
      <c r="DI790" s="1459"/>
      <c r="DJ790" s="1457">
        <f t="shared" si="47"/>
        <v>0</v>
      </c>
      <c r="DK790" s="1458"/>
      <c r="DL790" s="1458"/>
      <c r="DM790" s="1458"/>
      <c r="DN790" s="1459"/>
      <c r="DO790" s="1457">
        <f t="shared" si="48"/>
        <v>0</v>
      </c>
      <c r="DP790" s="1458"/>
      <c r="DQ790" s="1458"/>
      <c r="DR790" s="1458"/>
      <c r="DS790" s="1459"/>
      <c r="DT790" s="6"/>
      <c r="DU790" s="1457">
        <f t="shared" si="49"/>
        <v>0</v>
      </c>
      <c r="DV790" s="1458"/>
      <c r="DW790" s="1458"/>
      <c r="DX790" s="1458"/>
      <c r="DY790" s="1459"/>
      <c r="DZ790" s="1457">
        <f t="shared" si="50"/>
        <v>0</v>
      </c>
      <c r="EA790" s="1458"/>
      <c r="EB790" s="1458"/>
      <c r="EC790" s="1458"/>
      <c r="ED790" s="1459"/>
      <c r="EE790" s="1457">
        <f t="shared" si="51"/>
        <v>0</v>
      </c>
      <c r="EF790" s="1458"/>
      <c r="EG790" s="1458"/>
      <c r="EH790" s="1458"/>
      <c r="EI790" s="1459"/>
      <c r="EJ790" s="1457">
        <f t="shared" si="52"/>
        <v>0</v>
      </c>
      <c r="EK790" s="1458"/>
      <c r="EL790" s="1458"/>
      <c r="EM790" s="1458"/>
      <c r="EN790" s="1459"/>
      <c r="EO790" s="1457">
        <f t="shared" si="53"/>
        <v>0</v>
      </c>
      <c r="EP790" s="1458"/>
      <c r="EQ790" s="1458"/>
      <c r="ER790" s="1458"/>
      <c r="ES790" s="1459"/>
      <c r="ET790" s="1457">
        <f t="shared" si="54"/>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2"/>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3"/>
        <v>0</v>
      </c>
      <c r="CQ791" s="1458"/>
      <c r="CR791" s="1458"/>
      <c r="CS791" s="1458"/>
      <c r="CT791" s="1459"/>
      <c r="CU791" s="1457">
        <f t="shared" si="44"/>
        <v>0</v>
      </c>
      <c r="CV791" s="1458"/>
      <c r="CW791" s="1458"/>
      <c r="CX791" s="1458"/>
      <c r="CY791" s="1459"/>
      <c r="CZ791" s="1457">
        <f t="shared" si="45"/>
        <v>0</v>
      </c>
      <c r="DA791" s="1458"/>
      <c r="DB791" s="1458"/>
      <c r="DC791" s="1458"/>
      <c r="DD791" s="1459"/>
      <c r="DE791" s="1457">
        <f t="shared" si="46"/>
        <v>0</v>
      </c>
      <c r="DF791" s="1458"/>
      <c r="DG791" s="1458"/>
      <c r="DH791" s="1458"/>
      <c r="DI791" s="1459"/>
      <c r="DJ791" s="1457">
        <f t="shared" si="47"/>
        <v>0</v>
      </c>
      <c r="DK791" s="1458"/>
      <c r="DL791" s="1458"/>
      <c r="DM791" s="1458"/>
      <c r="DN791" s="1459"/>
      <c r="DO791" s="1457">
        <f t="shared" si="48"/>
        <v>0</v>
      </c>
      <c r="DP791" s="1458"/>
      <c r="DQ791" s="1458"/>
      <c r="DR791" s="1458"/>
      <c r="DS791" s="1459"/>
      <c r="DT791" s="6"/>
      <c r="DU791" s="1457">
        <f t="shared" si="49"/>
        <v>0</v>
      </c>
      <c r="DV791" s="1458"/>
      <c r="DW791" s="1458"/>
      <c r="DX791" s="1458"/>
      <c r="DY791" s="1459"/>
      <c r="DZ791" s="1457">
        <f t="shared" si="50"/>
        <v>0</v>
      </c>
      <c r="EA791" s="1458"/>
      <c r="EB791" s="1458"/>
      <c r="EC791" s="1458"/>
      <c r="ED791" s="1459"/>
      <c r="EE791" s="1457">
        <f t="shared" si="51"/>
        <v>0</v>
      </c>
      <c r="EF791" s="1458"/>
      <c r="EG791" s="1458"/>
      <c r="EH791" s="1458"/>
      <c r="EI791" s="1459"/>
      <c r="EJ791" s="1457">
        <f t="shared" si="52"/>
        <v>0</v>
      </c>
      <c r="EK791" s="1458"/>
      <c r="EL791" s="1458"/>
      <c r="EM791" s="1458"/>
      <c r="EN791" s="1459"/>
      <c r="EO791" s="1457">
        <f t="shared" si="53"/>
        <v>0</v>
      </c>
      <c r="EP791" s="1458"/>
      <c r="EQ791" s="1458"/>
      <c r="ER791" s="1458"/>
      <c r="ES791" s="1459"/>
      <c r="ET791" s="1457">
        <f t="shared" si="54"/>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2"/>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3"/>
        <v>0</v>
      </c>
      <c r="CQ792" s="1458"/>
      <c r="CR792" s="1458"/>
      <c r="CS792" s="1458"/>
      <c r="CT792" s="1459"/>
      <c r="CU792" s="1457">
        <f t="shared" si="44"/>
        <v>0</v>
      </c>
      <c r="CV792" s="1458"/>
      <c r="CW792" s="1458"/>
      <c r="CX792" s="1458"/>
      <c r="CY792" s="1459"/>
      <c r="CZ792" s="1457">
        <f t="shared" si="45"/>
        <v>0</v>
      </c>
      <c r="DA792" s="1458"/>
      <c r="DB792" s="1458"/>
      <c r="DC792" s="1458"/>
      <c r="DD792" s="1459"/>
      <c r="DE792" s="1457">
        <f t="shared" si="46"/>
        <v>0</v>
      </c>
      <c r="DF792" s="1458"/>
      <c r="DG792" s="1458"/>
      <c r="DH792" s="1458"/>
      <c r="DI792" s="1459"/>
      <c r="DJ792" s="1457">
        <f t="shared" si="47"/>
        <v>0</v>
      </c>
      <c r="DK792" s="1458"/>
      <c r="DL792" s="1458"/>
      <c r="DM792" s="1458"/>
      <c r="DN792" s="1459"/>
      <c r="DO792" s="1457">
        <f t="shared" si="48"/>
        <v>0</v>
      </c>
      <c r="DP792" s="1458"/>
      <c r="DQ792" s="1458"/>
      <c r="DR792" s="1458"/>
      <c r="DS792" s="1459"/>
      <c r="DT792" s="6"/>
      <c r="DU792" s="1457">
        <f t="shared" si="49"/>
        <v>0</v>
      </c>
      <c r="DV792" s="1458"/>
      <c r="DW792" s="1458"/>
      <c r="DX792" s="1458"/>
      <c r="DY792" s="1459"/>
      <c r="DZ792" s="1457">
        <f t="shared" si="50"/>
        <v>0</v>
      </c>
      <c r="EA792" s="1458"/>
      <c r="EB792" s="1458"/>
      <c r="EC792" s="1458"/>
      <c r="ED792" s="1459"/>
      <c r="EE792" s="1457">
        <f t="shared" si="51"/>
        <v>0</v>
      </c>
      <c r="EF792" s="1458"/>
      <c r="EG792" s="1458"/>
      <c r="EH792" s="1458"/>
      <c r="EI792" s="1459"/>
      <c r="EJ792" s="1457">
        <f t="shared" si="52"/>
        <v>0</v>
      </c>
      <c r="EK792" s="1458"/>
      <c r="EL792" s="1458"/>
      <c r="EM792" s="1458"/>
      <c r="EN792" s="1459"/>
      <c r="EO792" s="1457">
        <f t="shared" si="53"/>
        <v>0</v>
      </c>
      <c r="EP792" s="1458"/>
      <c r="EQ792" s="1458"/>
      <c r="ER792" s="1458"/>
      <c r="ES792" s="1459"/>
      <c r="ET792" s="1457">
        <f t="shared" si="54"/>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2"/>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3"/>
        <v>0</v>
      </c>
      <c r="CQ793" s="1458"/>
      <c r="CR793" s="1458"/>
      <c r="CS793" s="1458"/>
      <c r="CT793" s="1459"/>
      <c r="CU793" s="1457">
        <f t="shared" si="44"/>
        <v>0</v>
      </c>
      <c r="CV793" s="1458"/>
      <c r="CW793" s="1458"/>
      <c r="CX793" s="1458"/>
      <c r="CY793" s="1459"/>
      <c r="CZ793" s="1457">
        <f t="shared" si="45"/>
        <v>0</v>
      </c>
      <c r="DA793" s="1458"/>
      <c r="DB793" s="1458"/>
      <c r="DC793" s="1458"/>
      <c r="DD793" s="1459"/>
      <c r="DE793" s="1457">
        <f t="shared" si="46"/>
        <v>0</v>
      </c>
      <c r="DF793" s="1458"/>
      <c r="DG793" s="1458"/>
      <c r="DH793" s="1458"/>
      <c r="DI793" s="1459"/>
      <c r="DJ793" s="1457">
        <f t="shared" si="47"/>
        <v>0</v>
      </c>
      <c r="DK793" s="1458"/>
      <c r="DL793" s="1458"/>
      <c r="DM793" s="1458"/>
      <c r="DN793" s="1459"/>
      <c r="DO793" s="1457">
        <f t="shared" si="48"/>
        <v>0</v>
      </c>
      <c r="DP793" s="1458"/>
      <c r="DQ793" s="1458"/>
      <c r="DR793" s="1458"/>
      <c r="DS793" s="1459"/>
      <c r="DT793" s="6"/>
      <c r="DU793" s="1457">
        <f t="shared" si="49"/>
        <v>0</v>
      </c>
      <c r="DV793" s="1458"/>
      <c r="DW793" s="1458"/>
      <c r="DX793" s="1458"/>
      <c r="DY793" s="1459"/>
      <c r="DZ793" s="1457">
        <f t="shared" si="50"/>
        <v>0</v>
      </c>
      <c r="EA793" s="1458"/>
      <c r="EB793" s="1458"/>
      <c r="EC793" s="1458"/>
      <c r="ED793" s="1459"/>
      <c r="EE793" s="1457">
        <f t="shared" si="51"/>
        <v>0</v>
      </c>
      <c r="EF793" s="1458"/>
      <c r="EG793" s="1458"/>
      <c r="EH793" s="1458"/>
      <c r="EI793" s="1459"/>
      <c r="EJ793" s="1457">
        <f t="shared" si="52"/>
        <v>0</v>
      </c>
      <c r="EK793" s="1458"/>
      <c r="EL793" s="1458"/>
      <c r="EM793" s="1458"/>
      <c r="EN793" s="1459"/>
      <c r="EO793" s="1457">
        <f t="shared" si="53"/>
        <v>0</v>
      </c>
      <c r="EP793" s="1458"/>
      <c r="EQ793" s="1458"/>
      <c r="ER793" s="1458"/>
      <c r="ES793" s="1459"/>
      <c r="ET793" s="1457">
        <f t="shared" si="54"/>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2"/>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3"/>
        <v>0</v>
      </c>
      <c r="CQ794" s="1458"/>
      <c r="CR794" s="1458"/>
      <c r="CS794" s="1458"/>
      <c r="CT794" s="1459"/>
      <c r="CU794" s="1457">
        <f t="shared" si="44"/>
        <v>0</v>
      </c>
      <c r="CV794" s="1458"/>
      <c r="CW794" s="1458"/>
      <c r="CX794" s="1458"/>
      <c r="CY794" s="1459"/>
      <c r="CZ794" s="1457">
        <f t="shared" si="45"/>
        <v>0</v>
      </c>
      <c r="DA794" s="1458"/>
      <c r="DB794" s="1458"/>
      <c r="DC794" s="1458"/>
      <c r="DD794" s="1459"/>
      <c r="DE794" s="1457">
        <f t="shared" si="46"/>
        <v>0</v>
      </c>
      <c r="DF794" s="1458"/>
      <c r="DG794" s="1458"/>
      <c r="DH794" s="1458"/>
      <c r="DI794" s="1459"/>
      <c r="DJ794" s="1457">
        <f t="shared" si="47"/>
        <v>0</v>
      </c>
      <c r="DK794" s="1458"/>
      <c r="DL794" s="1458"/>
      <c r="DM794" s="1458"/>
      <c r="DN794" s="1459"/>
      <c r="DO794" s="1457">
        <f t="shared" si="48"/>
        <v>0</v>
      </c>
      <c r="DP794" s="1458"/>
      <c r="DQ794" s="1458"/>
      <c r="DR794" s="1458"/>
      <c r="DS794" s="1459"/>
      <c r="DT794" s="6"/>
      <c r="DU794" s="1457">
        <f t="shared" si="49"/>
        <v>0</v>
      </c>
      <c r="DV794" s="1458"/>
      <c r="DW794" s="1458"/>
      <c r="DX794" s="1458"/>
      <c r="DY794" s="1459"/>
      <c r="DZ794" s="1457">
        <f t="shared" si="50"/>
        <v>0</v>
      </c>
      <c r="EA794" s="1458"/>
      <c r="EB794" s="1458"/>
      <c r="EC794" s="1458"/>
      <c r="ED794" s="1459"/>
      <c r="EE794" s="1457">
        <f t="shared" si="51"/>
        <v>0</v>
      </c>
      <c r="EF794" s="1458"/>
      <c r="EG794" s="1458"/>
      <c r="EH794" s="1458"/>
      <c r="EI794" s="1459"/>
      <c r="EJ794" s="1457">
        <f t="shared" si="52"/>
        <v>0</v>
      </c>
      <c r="EK794" s="1458"/>
      <c r="EL794" s="1458"/>
      <c r="EM794" s="1458"/>
      <c r="EN794" s="1459"/>
      <c r="EO794" s="1457">
        <f t="shared" si="53"/>
        <v>0</v>
      </c>
      <c r="EP794" s="1458"/>
      <c r="EQ794" s="1458"/>
      <c r="ER794" s="1458"/>
      <c r="ES794" s="1459"/>
      <c r="ET794" s="1457">
        <f t="shared" si="54"/>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2"/>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3"/>
        <v>0</v>
      </c>
      <c r="CQ795" s="1458"/>
      <c r="CR795" s="1458"/>
      <c r="CS795" s="1458"/>
      <c r="CT795" s="1459"/>
      <c r="CU795" s="1457">
        <f t="shared" si="44"/>
        <v>0</v>
      </c>
      <c r="CV795" s="1458"/>
      <c r="CW795" s="1458"/>
      <c r="CX795" s="1458"/>
      <c r="CY795" s="1459"/>
      <c r="CZ795" s="1457">
        <f t="shared" si="45"/>
        <v>0</v>
      </c>
      <c r="DA795" s="1458"/>
      <c r="DB795" s="1458"/>
      <c r="DC795" s="1458"/>
      <c r="DD795" s="1459"/>
      <c r="DE795" s="1457">
        <f t="shared" si="46"/>
        <v>0</v>
      </c>
      <c r="DF795" s="1458"/>
      <c r="DG795" s="1458"/>
      <c r="DH795" s="1458"/>
      <c r="DI795" s="1459"/>
      <c r="DJ795" s="1457">
        <f t="shared" si="47"/>
        <v>0</v>
      </c>
      <c r="DK795" s="1458"/>
      <c r="DL795" s="1458"/>
      <c r="DM795" s="1458"/>
      <c r="DN795" s="1459"/>
      <c r="DO795" s="1457">
        <f t="shared" si="48"/>
        <v>0</v>
      </c>
      <c r="DP795" s="1458"/>
      <c r="DQ795" s="1458"/>
      <c r="DR795" s="1458"/>
      <c r="DS795" s="1459"/>
      <c r="DT795" s="6"/>
      <c r="DU795" s="1457">
        <f t="shared" si="49"/>
        <v>0</v>
      </c>
      <c r="DV795" s="1458"/>
      <c r="DW795" s="1458"/>
      <c r="DX795" s="1458"/>
      <c r="DY795" s="1459"/>
      <c r="DZ795" s="1457">
        <f t="shared" si="50"/>
        <v>0</v>
      </c>
      <c r="EA795" s="1458"/>
      <c r="EB795" s="1458"/>
      <c r="EC795" s="1458"/>
      <c r="ED795" s="1459"/>
      <c r="EE795" s="1457">
        <f t="shared" si="51"/>
        <v>0</v>
      </c>
      <c r="EF795" s="1458"/>
      <c r="EG795" s="1458"/>
      <c r="EH795" s="1458"/>
      <c r="EI795" s="1459"/>
      <c r="EJ795" s="1457">
        <f t="shared" si="52"/>
        <v>0</v>
      </c>
      <c r="EK795" s="1458"/>
      <c r="EL795" s="1458"/>
      <c r="EM795" s="1458"/>
      <c r="EN795" s="1459"/>
      <c r="EO795" s="1457">
        <f t="shared" si="53"/>
        <v>0</v>
      </c>
      <c r="EP795" s="1458"/>
      <c r="EQ795" s="1458"/>
      <c r="ER795" s="1458"/>
      <c r="ES795" s="1459"/>
      <c r="ET795" s="1457">
        <f t="shared" si="54"/>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2"/>
        <v>0</v>
      </c>
      <c r="AD796" s="1353"/>
      <c r="AE796" s="1353"/>
      <c r="AF796" s="1353"/>
      <c r="AG796" s="1354"/>
      <c r="AH796"/>
      <c r="AI796"/>
      <c r="AJ796"/>
      <c r="AK796"/>
      <c r="AL796"/>
      <c r="AM796"/>
      <c r="AN796"/>
      <c r="AO796"/>
      <c r="AP796"/>
      <c r="AQ796"/>
      <c r="AR796"/>
      <c r="AS796"/>
      <c r="AT796"/>
      <c r="AU796"/>
      <c r="AV796"/>
      <c r="AW796"/>
      <c r="AX796"/>
      <c r="AY796"/>
      <c r="AZ796" s="3"/>
      <c r="CP796" s="1457">
        <f t="shared" si="43"/>
        <v>0</v>
      </c>
      <c r="CQ796" s="1458"/>
      <c r="CR796" s="1458"/>
      <c r="CS796" s="1458"/>
      <c r="CT796" s="1459"/>
      <c r="CU796" s="1457">
        <f t="shared" si="44"/>
        <v>0</v>
      </c>
      <c r="CV796" s="1458"/>
      <c r="CW796" s="1458"/>
      <c r="CX796" s="1458"/>
      <c r="CY796" s="1459"/>
      <c r="CZ796" s="1457">
        <f t="shared" si="45"/>
        <v>0</v>
      </c>
      <c r="DA796" s="1458"/>
      <c r="DB796" s="1458"/>
      <c r="DC796" s="1458"/>
      <c r="DD796" s="1459"/>
      <c r="DE796" s="1457">
        <f t="shared" si="46"/>
        <v>0</v>
      </c>
      <c r="DF796" s="1458"/>
      <c r="DG796" s="1458"/>
      <c r="DH796" s="1458"/>
      <c r="DI796" s="1459"/>
      <c r="DJ796" s="1457">
        <f t="shared" si="47"/>
        <v>0</v>
      </c>
      <c r="DK796" s="1458"/>
      <c r="DL796" s="1458"/>
      <c r="DM796" s="1458"/>
      <c r="DN796" s="1459"/>
      <c r="DO796" s="1457">
        <f t="shared" si="48"/>
        <v>0</v>
      </c>
      <c r="DP796" s="1458"/>
      <c r="DQ796" s="1458"/>
      <c r="DR796" s="1458"/>
      <c r="DS796" s="1459"/>
      <c r="DT796" s="6"/>
      <c r="DU796" s="1457">
        <f t="shared" si="49"/>
        <v>0</v>
      </c>
      <c r="DV796" s="1458"/>
      <c r="DW796" s="1458"/>
      <c r="DX796" s="1458"/>
      <c r="DY796" s="1459"/>
      <c r="DZ796" s="1457">
        <f t="shared" si="50"/>
        <v>0</v>
      </c>
      <c r="EA796" s="1458"/>
      <c r="EB796" s="1458"/>
      <c r="EC796" s="1458"/>
      <c r="ED796" s="1459"/>
      <c r="EE796" s="1457">
        <f t="shared" si="51"/>
        <v>0</v>
      </c>
      <c r="EF796" s="1458"/>
      <c r="EG796" s="1458"/>
      <c r="EH796" s="1458"/>
      <c r="EI796" s="1459"/>
      <c r="EJ796" s="1457">
        <f t="shared" si="52"/>
        <v>0</v>
      </c>
      <c r="EK796" s="1458"/>
      <c r="EL796" s="1458"/>
      <c r="EM796" s="1458"/>
      <c r="EN796" s="1459"/>
      <c r="EO796" s="1457">
        <f t="shared" si="53"/>
        <v>0</v>
      </c>
      <c r="EP796" s="1458"/>
      <c r="EQ796" s="1458"/>
      <c r="ER796" s="1458"/>
      <c r="ES796" s="1459"/>
      <c r="ET796" s="1457">
        <f t="shared" si="54"/>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178105</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2137260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99</v>
      </c>
      <c r="CQ802" s="1472"/>
      <c r="CR802" s="1472"/>
      <c r="CS802" s="1472"/>
      <c r="CT802" s="1473"/>
      <c r="CU802" s="1471">
        <f>CU753+CU777+CU797</f>
        <v>50</v>
      </c>
      <c r="CV802" s="1472"/>
      <c r="CW802" s="1472"/>
      <c r="CX802" s="1472"/>
      <c r="CY802" s="1473"/>
      <c r="CZ802" s="1471">
        <f>CZ753+CZ777+CZ797</f>
        <v>0</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147</v>
      </c>
      <c r="DV802" s="57" t="s">
        <v>1862</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v>122</v>
      </c>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20</v>
      </c>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48999</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1680096</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9300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v>2000</v>
      </c>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v>2153</v>
      </c>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2706</v>
      </c>
      <c r="Q816" s="1593"/>
      <c r="R816" s="1593"/>
      <c r="S816" s="1593"/>
      <c r="T816" s="1593"/>
      <c r="U816" s="1593"/>
      <c r="V816" s="1593"/>
      <c r="W816" s="1593"/>
      <c r="X816" s="1593"/>
      <c r="Y816" s="1594"/>
      <c r="Z816" s="1465">
        <v>51195</v>
      </c>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64648</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4">
        <f>Z817+Y801+Z809</f>
        <v>3882004</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761</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458</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782</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0</v>
      </c>
      <c r="N832" s="1635"/>
      <c r="O832" s="1635"/>
      <c r="P832" s="1635"/>
      <c r="Q832" s="1635">
        <f>SUM(Q825:T831)</f>
        <v>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2707</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0">
        <f>2961.49+832.92</f>
        <v>3794.41</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0">
        <v>2309.96</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0">
        <v>8329.19</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0">
        <v>28000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170</v>
      </c>
      <c r="K846" s="5"/>
      <c r="L846" s="5"/>
      <c r="M846" s="1592" t="s">
        <v>2708</v>
      </c>
      <c r="N846" s="1593"/>
      <c r="O846" s="1593"/>
      <c r="P846" s="1593"/>
      <c r="Q846" s="1593"/>
      <c r="R846" s="1593"/>
      <c r="S846" s="1593"/>
      <c r="T846" s="1593"/>
      <c r="U846" s="1593"/>
      <c r="V846" s="1594"/>
      <c r="W846" s="1480">
        <v>23158.560000000001</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SUM(W842:W846)</f>
        <v>65592.12</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8" t="s">
        <v>345</v>
      </c>
      <c r="K849" s="1449"/>
      <c r="L849" s="1449"/>
      <c r="M849" s="1449"/>
      <c r="N849" s="1449"/>
      <c r="O849" s="1449"/>
      <c r="P849" s="1449"/>
      <c r="Q849" s="1449"/>
      <c r="R849" s="1449"/>
      <c r="S849" s="1449"/>
      <c r="T849" s="1449"/>
      <c r="U849" s="1449"/>
      <c r="V849" s="1450"/>
      <c r="W849" s="1465">
        <v>112000</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560</v>
      </c>
      <c r="J851" s="45" t="s">
        <v>352</v>
      </c>
      <c r="K851" s="5"/>
      <c r="L851" s="5"/>
      <c r="M851" s="5"/>
      <c r="N851" s="5"/>
      <c r="O851" s="5"/>
      <c r="P851" s="5"/>
      <c r="Q851" s="5"/>
      <c r="R851" s="5"/>
      <c r="S851" s="5"/>
      <c r="T851" s="5"/>
      <c r="U851" s="5"/>
      <c r="V851" s="46"/>
      <c r="W851" s="1650"/>
      <c r="X851" s="1650"/>
      <c r="Y851" s="1650"/>
      <c r="Z851" s="1650"/>
      <c r="AA851" s="1650"/>
      <c r="AB851" s="1650"/>
      <c r="AC851" s="1650"/>
      <c r="AZ851" s="1718"/>
      <c r="BA851" s="1718"/>
      <c r="BB851" s="14"/>
      <c r="BC851" s="14"/>
    </row>
    <row r="852" spans="3:55" ht="12.95" customHeight="1">
      <c r="J852" s="45" t="s">
        <v>351</v>
      </c>
      <c r="K852" s="5"/>
      <c r="L852" s="5"/>
      <c r="M852" s="5"/>
      <c r="N852" s="5"/>
      <c r="O852" s="5"/>
      <c r="P852" s="5"/>
      <c r="Q852" s="5"/>
      <c r="R852" s="5"/>
      <c r="S852" s="5"/>
      <c r="T852" s="5"/>
      <c r="U852" s="5"/>
      <c r="V852" s="46"/>
      <c r="W852" s="1650">
        <v>15452</v>
      </c>
      <c r="X852" s="1650"/>
      <c r="Y852" s="1650"/>
      <c r="Z852" s="1650"/>
      <c r="AA852" s="1650"/>
      <c r="AB852" s="1650"/>
      <c r="AC852" s="1650"/>
      <c r="AZ852" s="30"/>
      <c r="BA852" s="30"/>
      <c r="BB852" s="14"/>
      <c r="BC852" s="14"/>
    </row>
    <row r="853" spans="3:55" ht="12.95" customHeight="1">
      <c r="J853" s="45" t="s">
        <v>458</v>
      </c>
      <c r="K853" s="5"/>
      <c r="L853" s="5"/>
      <c r="M853" s="5"/>
      <c r="N853" s="5"/>
      <c r="O853" s="5"/>
      <c r="P853" s="5"/>
      <c r="Q853" s="5"/>
      <c r="R853" s="5"/>
      <c r="S853" s="5"/>
      <c r="T853" s="5"/>
      <c r="U853" s="5"/>
      <c r="V853" s="46"/>
      <c r="W853" s="1650">
        <v>172853</v>
      </c>
      <c r="X853" s="1650"/>
      <c r="Y853" s="1650"/>
      <c r="Z853" s="1650"/>
      <c r="AA853" s="1650"/>
      <c r="AB853" s="1650"/>
      <c r="AC853" s="1650"/>
      <c r="AZ853" s="30"/>
      <c r="BA853" s="30"/>
      <c r="BB853" s="14"/>
      <c r="BC853" s="14"/>
    </row>
    <row r="854" spans="3:55" ht="12.95" customHeight="1">
      <c r="J854" s="62" t="s">
        <v>619</v>
      </c>
      <c r="K854" s="5"/>
      <c r="L854" s="5"/>
      <c r="M854" s="5"/>
      <c r="N854" s="5"/>
      <c r="O854" s="5"/>
      <c r="P854" s="5"/>
      <c r="Q854" s="5"/>
      <c r="R854" s="5"/>
      <c r="S854" s="5"/>
      <c r="T854" s="5"/>
      <c r="U854" s="5"/>
      <c r="V854" s="46"/>
      <c r="W854" s="1650">
        <v>64337</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252642</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618</v>
      </c>
      <c r="K857" s="5"/>
      <c r="L857" s="5"/>
      <c r="M857" s="5"/>
      <c r="N857" s="5"/>
      <c r="O857" s="5"/>
      <c r="P857" s="5"/>
      <c r="Q857" s="5"/>
      <c r="R857" s="5"/>
      <c r="S857" s="5"/>
      <c r="T857" s="5"/>
      <c r="U857" s="5"/>
      <c r="V857" s="46"/>
      <c r="W857" s="1629">
        <v>72604</v>
      </c>
      <c r="X857" s="1630"/>
      <c r="Y857" s="1630"/>
      <c r="Z857" s="1630"/>
      <c r="AA857" s="1630"/>
      <c r="AB857" s="1630"/>
      <c r="AC857" s="1631"/>
      <c r="AD857" s="528"/>
      <c r="AZ857" s="34"/>
      <c r="BA857" s="34"/>
      <c r="BB857" s="34"/>
      <c r="BC857" s="34"/>
    </row>
    <row r="858" spans="3:55" ht="12.95" customHeight="1">
      <c r="C858" s="2" t="s">
        <v>347</v>
      </c>
      <c r="J858" s="121" t="s">
        <v>1654</v>
      </c>
      <c r="K858" s="5"/>
      <c r="L858" s="5"/>
      <c r="M858" s="5"/>
      <c r="N858" s="5"/>
      <c r="O858" s="5"/>
      <c r="P858" s="5"/>
      <c r="Q858" s="5"/>
      <c r="R858" s="5"/>
      <c r="S858" s="5"/>
      <c r="T858" s="1709">
        <v>3</v>
      </c>
      <c r="U858" s="1696"/>
      <c r="V858" s="1710"/>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29">
        <v>143394</v>
      </c>
      <c r="X859" s="1630"/>
      <c r="Y859" s="1630"/>
      <c r="Z859" s="1630"/>
      <c r="AA859" s="1630"/>
      <c r="AB859" s="1630"/>
      <c r="AC859" s="1631"/>
      <c r="AD859" s="533"/>
      <c r="AZ859" s="34"/>
      <c r="BA859" s="34"/>
      <c r="BB859" s="34"/>
      <c r="BC859" s="34"/>
    </row>
    <row r="860" spans="3:55" ht="12.95" customHeight="1">
      <c r="C860" s="2"/>
      <c r="J860" s="121" t="s">
        <v>1655</v>
      </c>
      <c r="K860" s="5"/>
      <c r="L860" s="5"/>
      <c r="M860" s="5"/>
      <c r="N860" s="5"/>
      <c r="O860" s="5"/>
      <c r="P860" s="5"/>
      <c r="Q860" s="5"/>
      <c r="R860" s="5"/>
      <c r="S860" s="5"/>
      <c r="T860" s="1709">
        <v>2</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2" t="s">
        <v>2709</v>
      </c>
      <c r="N861" s="1593"/>
      <c r="O861" s="1593"/>
      <c r="P861" s="1593"/>
      <c r="Q861" s="1593"/>
      <c r="R861" s="1593"/>
      <c r="S861" s="1593"/>
      <c r="T861" s="1593"/>
      <c r="U861" s="1593"/>
      <c r="V861" s="1594"/>
      <c r="W861" s="1629">
        <v>72126</v>
      </c>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288124</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v>84422</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389</v>
      </c>
      <c r="J865" s="45" t="s">
        <v>616</v>
      </c>
      <c r="K865" s="5"/>
      <c r="L865" s="5"/>
      <c r="M865" s="5"/>
      <c r="N865" s="5"/>
      <c r="O865" s="5"/>
      <c r="P865" s="5"/>
      <c r="Q865" s="5"/>
      <c r="R865" s="5"/>
      <c r="S865" s="5"/>
      <c r="T865" s="5"/>
      <c r="U865" s="5"/>
      <c r="V865" s="46"/>
      <c r="W865" s="1480">
        <v>1388</v>
      </c>
      <c r="X865" s="1480"/>
      <c r="Y865" s="1480"/>
      <c r="Z865" s="1480"/>
      <c r="AA865" s="1480"/>
      <c r="AB865" s="1480"/>
      <c r="AC865" s="1480"/>
      <c r="AU865" s="14"/>
      <c r="AZ865" s="34"/>
      <c r="BA865" s="34"/>
      <c r="BB865" s="34"/>
      <c r="BC865" s="34"/>
    </row>
    <row r="866" spans="3:55" ht="12.95" customHeight="1">
      <c r="J866" s="45" t="s">
        <v>521</v>
      </c>
      <c r="K866" s="5"/>
      <c r="L866" s="5"/>
      <c r="M866" s="5"/>
      <c r="N866" s="5"/>
      <c r="O866" s="5"/>
      <c r="P866" s="5"/>
      <c r="Q866" s="5"/>
      <c r="R866" s="5"/>
      <c r="S866" s="5"/>
      <c r="T866" s="5"/>
      <c r="U866" s="5"/>
      <c r="V866" s="46"/>
      <c r="W866" s="1480">
        <v>50898</v>
      </c>
      <c r="X866" s="1480"/>
      <c r="Y866" s="1480"/>
      <c r="Z866" s="1480"/>
      <c r="AA866" s="1480"/>
      <c r="AB866" s="1480"/>
      <c r="AC866" s="1480"/>
      <c r="AU866" s="4"/>
      <c r="AZ866" s="34"/>
      <c r="BA866" s="34"/>
      <c r="BB866" s="34"/>
      <c r="BC866" s="34"/>
    </row>
    <row r="867" spans="3:55" ht="12.95" customHeight="1">
      <c r="J867" s="45" t="s">
        <v>520</v>
      </c>
      <c r="K867" s="5"/>
      <c r="L867" s="5"/>
      <c r="M867" s="5"/>
      <c r="N867" s="5"/>
      <c r="O867" s="5"/>
      <c r="P867" s="5"/>
      <c r="Q867" s="5"/>
      <c r="R867" s="5"/>
      <c r="S867" s="5"/>
      <c r="T867" s="5"/>
      <c r="U867" s="5"/>
      <c r="V867" s="46"/>
      <c r="W867" s="1480">
        <v>12123</v>
      </c>
      <c r="X867" s="1480"/>
      <c r="Y867" s="1480"/>
      <c r="Z867" s="1480"/>
      <c r="AA867" s="1480"/>
      <c r="AB867" s="1480"/>
      <c r="AC867" s="1480"/>
      <c r="AU867" s="4"/>
      <c r="AZ867" s="34"/>
      <c r="BA867" s="34"/>
      <c r="BB867" s="34"/>
      <c r="BC867" s="34"/>
    </row>
    <row r="868" spans="3:55" ht="12.95" customHeight="1">
      <c r="J868" s="45" t="s">
        <v>519</v>
      </c>
      <c r="K868" s="5"/>
      <c r="L868" s="5"/>
      <c r="M868" s="5"/>
      <c r="N868" s="5"/>
      <c r="O868" s="5"/>
      <c r="P868" s="5"/>
      <c r="Q868" s="5"/>
      <c r="R868" s="5"/>
      <c r="S868" s="5"/>
      <c r="T868" s="5"/>
      <c r="U868" s="5"/>
      <c r="V868" s="46"/>
      <c r="W868" s="1480">
        <v>12667</v>
      </c>
      <c r="X868" s="1480"/>
      <c r="Y868" s="1480"/>
      <c r="Z868" s="1480"/>
      <c r="AA868" s="1480"/>
      <c r="AB868" s="1480"/>
      <c r="AC868" s="1480"/>
      <c r="AU868" s="4"/>
      <c r="AZ868" s="34"/>
      <c r="BA868" s="34"/>
      <c r="BB868" s="34"/>
      <c r="BC868" s="34"/>
    </row>
    <row r="869" spans="3:55" ht="12.95" customHeight="1">
      <c r="J869" s="45" t="s">
        <v>518</v>
      </c>
      <c r="K869" s="5"/>
      <c r="L869" s="5"/>
      <c r="M869" s="5"/>
      <c r="N869" s="5"/>
      <c r="O869" s="5"/>
      <c r="P869" s="5"/>
      <c r="Q869" s="5"/>
      <c r="R869" s="5"/>
      <c r="S869" s="5"/>
      <c r="T869" s="5"/>
      <c r="U869" s="5"/>
      <c r="V869" s="46"/>
      <c r="W869" s="1480">
        <v>13730</v>
      </c>
      <c r="X869" s="1480"/>
      <c r="Y869" s="1480"/>
      <c r="Z869" s="1480"/>
      <c r="AA869" s="1480"/>
      <c r="AB869" s="1480"/>
      <c r="AC869" s="1480"/>
      <c r="AU869" s="4"/>
      <c r="AZ869" s="34"/>
      <c r="BA869" s="34"/>
      <c r="BB869" s="34"/>
      <c r="BC869" s="34"/>
    </row>
    <row r="870" spans="3:55" ht="12.95" customHeight="1">
      <c r="J870" s="45" t="s">
        <v>517</v>
      </c>
      <c r="K870" s="5"/>
      <c r="L870" s="5"/>
      <c r="M870" s="5"/>
      <c r="N870" s="5"/>
      <c r="O870" s="5"/>
      <c r="P870" s="5"/>
      <c r="Q870" s="5"/>
      <c r="R870" s="5"/>
      <c r="S870" s="5"/>
      <c r="T870" s="5"/>
      <c r="U870" s="5"/>
      <c r="V870" s="46"/>
      <c r="W870" s="1480">
        <v>20322</v>
      </c>
      <c r="X870" s="1480"/>
      <c r="Y870" s="1480"/>
      <c r="Z870" s="1480"/>
      <c r="AA870" s="1480"/>
      <c r="AB870" s="1480"/>
      <c r="AC870" s="1480"/>
      <c r="AU870" s="4"/>
      <c r="AZ870" s="34"/>
      <c r="BA870" s="34"/>
      <c r="BB870" s="34"/>
      <c r="BC870" s="34"/>
    </row>
    <row r="871" spans="3:55" ht="12.95" customHeight="1">
      <c r="J871" s="45" t="s">
        <v>170</v>
      </c>
      <c r="K871" s="5"/>
      <c r="L871" s="5"/>
      <c r="M871" s="1592" t="s">
        <v>2710</v>
      </c>
      <c r="N871" s="1593"/>
      <c r="O871" s="1593"/>
      <c r="P871" s="1593"/>
      <c r="Q871" s="1593"/>
      <c r="R871" s="1593"/>
      <c r="S871" s="1593"/>
      <c r="T871" s="1593"/>
      <c r="U871" s="1593"/>
      <c r="V871" s="1594"/>
      <c r="W871" s="1480">
        <v>13261</v>
      </c>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124389</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2" t="s">
        <v>334</v>
      </c>
      <c r="N874" s="1593"/>
      <c r="O874" s="1593"/>
      <c r="P874" s="1593"/>
      <c r="Q874" s="1593"/>
      <c r="R874" s="1593"/>
      <c r="S874" s="1593"/>
      <c r="T874" s="1593"/>
      <c r="U874" s="1593"/>
      <c r="V874" s="1594"/>
      <c r="W874" s="1465"/>
      <c r="X874" s="1466"/>
      <c r="Y874" s="1466"/>
      <c r="Z874" s="1466"/>
      <c r="AA874" s="1466"/>
      <c r="AB874" s="1466"/>
      <c r="AC874" s="1467"/>
      <c r="AD874" s="533"/>
      <c r="AV874" s="14"/>
      <c r="AW874" s="14"/>
      <c r="AX874" s="14"/>
      <c r="AY874" s="14"/>
      <c r="AZ874" s="34"/>
      <c r="BA874" s="34"/>
      <c r="BB874" s="34"/>
      <c r="BC874" s="34"/>
    </row>
    <row r="875" spans="3:55" ht="12.95" customHeight="1">
      <c r="C875" s="2" t="s">
        <v>1243</v>
      </c>
      <c r="J875" s="45" t="s">
        <v>170</v>
      </c>
      <c r="K875" s="5"/>
      <c r="L875" s="5"/>
      <c r="M875" s="1592" t="s">
        <v>334</v>
      </c>
      <c r="N875" s="1593"/>
      <c r="O875" s="1593"/>
      <c r="P875" s="1593"/>
      <c r="Q875" s="1593"/>
      <c r="R875" s="1593"/>
      <c r="S875" s="1593"/>
      <c r="T875" s="1593"/>
      <c r="U875" s="1593"/>
      <c r="V875" s="1594"/>
      <c r="W875" s="1465"/>
      <c r="X875" s="1466"/>
      <c r="Y875" s="1466"/>
      <c r="Z875" s="1466"/>
      <c r="AA875" s="1466"/>
      <c r="AB875" s="1466"/>
      <c r="AC875" s="1467"/>
      <c r="AD875" s="533"/>
      <c r="AV875" s="14"/>
      <c r="AW875" s="14"/>
      <c r="AX875" s="14"/>
      <c r="AY875" s="14"/>
      <c r="AZ875" s="34"/>
      <c r="BA875" s="34"/>
      <c r="BB875" s="34"/>
      <c r="BC875" s="34"/>
    </row>
    <row r="876" spans="3:55" ht="12.95" customHeight="1">
      <c r="J876" s="45" t="s">
        <v>170</v>
      </c>
      <c r="K876" s="5"/>
      <c r="L876" s="5"/>
      <c r="M876" s="1592" t="s">
        <v>334</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2" t="s">
        <v>334</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2" t="s">
        <v>334</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SUM(W874:W878)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927169.12</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714">
        <f>O797+O777+G753</f>
        <v>149</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3">
        <f>IF(ISERROR((ROUNDDOWN(AC883/AC884,0))),0,(ROUNDDOWN(AC883/AC884,0)))</f>
        <v>6222</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6" t="s">
        <v>2711</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466">
        <v>47132</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v>44700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v>125</v>
      </c>
      <c r="AD891" s="1466"/>
      <c r="AE891" s="1466"/>
      <c r="AF891" s="1466"/>
      <c r="AG891" s="1466"/>
      <c r="AH891" s="1467"/>
      <c r="AZ891" s="34"/>
      <c r="BA891" s="34"/>
      <c r="BB891" s="34"/>
      <c r="BC891" s="34"/>
    </row>
    <row r="892" spans="3:55" ht="12.95" hidden="1" customHeight="1">
      <c r="C892" s="1448" t="s">
        <v>2231</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6"/>
      <c r="AD893" s="1466"/>
      <c r="AE893" s="1466"/>
      <c r="AF893" s="1466"/>
      <c r="AG893" s="1466"/>
      <c r="AH893" s="1467"/>
      <c r="AZ893" s="34"/>
      <c r="BA893" s="34"/>
      <c r="BB893" s="34"/>
      <c r="BC893" s="34"/>
    </row>
    <row r="894" spans="3:55" ht="12.95" customHeight="1">
      <c r="C894" s="1632" t="s">
        <v>955</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5" customHeight="1">
      <c r="C895" s="1632" t="s">
        <v>955</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791</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817</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390</v>
      </c>
      <c r="AC917" s="1636"/>
      <c r="AD917" s="1636"/>
      <c r="AE917" s="1636"/>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1" t="s">
        <v>590</v>
      </c>
      <c r="V918" s="1402"/>
      <c r="W918" s="1402"/>
      <c r="X918" s="1402"/>
      <c r="Y918" s="1402"/>
      <c r="Z918" s="1403"/>
      <c r="AA918" s="1407">
        <f>+AO627+AO628</f>
        <v>21730000</v>
      </c>
      <c r="AB918" s="1408"/>
      <c r="AC918" s="1408"/>
      <c r="AD918" s="1408"/>
      <c r="AE918" s="1408"/>
      <c r="AF918" s="1409"/>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1" t="s">
        <v>590</v>
      </c>
      <c r="V919" s="1402"/>
      <c r="W919" s="1402"/>
      <c r="X919" s="1402"/>
      <c r="Y919" s="1402"/>
      <c r="Z919" s="1403"/>
      <c r="AA919" s="1407">
        <f>+AO629</f>
        <v>14450000</v>
      </c>
      <c r="AB919" s="1408"/>
      <c r="AC919" s="1408"/>
      <c r="AD919" s="1408"/>
      <c r="AE919" s="1408"/>
      <c r="AF919" s="1409"/>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1" t="s">
        <v>590</v>
      </c>
      <c r="V920" s="1402"/>
      <c r="W920" s="1402"/>
      <c r="X920" s="1402"/>
      <c r="Y920" s="1402"/>
      <c r="Z920" s="1403"/>
      <c r="AA920" s="1407"/>
      <c r="AB920" s="1408"/>
      <c r="AC920" s="1408"/>
      <c r="AD920" s="1408"/>
      <c r="AE920" s="1408"/>
      <c r="AF920" s="1409"/>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1" t="s">
        <v>590</v>
      </c>
      <c r="V921" s="1402"/>
      <c r="W921" s="1402"/>
      <c r="X921" s="1402"/>
      <c r="Y921" s="1402"/>
      <c r="Z921" s="1403"/>
      <c r="AA921" s="1407"/>
      <c r="AB921" s="1408"/>
      <c r="AC921" s="1408"/>
      <c r="AD921" s="1408"/>
      <c r="AE921" s="1408"/>
      <c r="AF921" s="1409"/>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1" t="s">
        <v>590</v>
      </c>
      <c r="V922" s="1402"/>
      <c r="W922" s="1402"/>
      <c r="X922" s="1402"/>
      <c r="Y922" s="1402"/>
      <c r="Z922" s="1403"/>
      <c r="AA922" s="1407"/>
      <c r="AB922" s="1408"/>
      <c r="AC922" s="1408"/>
      <c r="AD922" s="1408"/>
      <c r="AE922" s="1408"/>
      <c r="AF922" s="1409"/>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1" t="s">
        <v>590</v>
      </c>
      <c r="V923" s="1402"/>
      <c r="W923" s="1402"/>
      <c r="X923" s="1402"/>
      <c r="Y923" s="1402"/>
      <c r="Z923" s="1403"/>
      <c r="AA923" s="1407"/>
      <c r="AB923" s="1408"/>
      <c r="AC923" s="1408"/>
      <c r="AD923" s="1408"/>
      <c r="AE923" s="1408"/>
      <c r="AF923" s="1409"/>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1" t="s">
        <v>590</v>
      </c>
      <c r="V924" s="1402"/>
      <c r="W924" s="1402"/>
      <c r="X924" s="1402"/>
      <c r="Y924" s="1402"/>
      <c r="Z924" s="1403"/>
      <c r="AA924" s="1407"/>
      <c r="AB924" s="1408"/>
      <c r="AC924" s="1408"/>
      <c r="AD924" s="1408"/>
      <c r="AE924" s="1408"/>
      <c r="AF924" s="1409"/>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1" t="s">
        <v>590</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2191</v>
      </c>
      <c r="G926" s="1601"/>
      <c r="H926" s="1601"/>
      <c r="I926" s="1601"/>
      <c r="J926" s="1601"/>
      <c r="K926" s="1601"/>
      <c r="L926" s="1601"/>
      <c r="M926" s="1601"/>
      <c r="N926" s="1601"/>
      <c r="O926" s="1601"/>
      <c r="P926" s="1601"/>
      <c r="Q926" s="1601"/>
      <c r="R926" s="1601"/>
      <c r="S926" s="1601"/>
      <c r="T926" s="1602"/>
      <c r="U926" s="1401" t="s">
        <v>590</v>
      </c>
      <c r="V926" s="1402"/>
      <c r="W926" s="1402"/>
      <c r="X926" s="1402"/>
      <c r="Y926" s="1402"/>
      <c r="Z926" s="1403"/>
      <c r="AA926" s="1407"/>
      <c r="AB926" s="1408"/>
      <c r="AC926" s="1408"/>
      <c r="AD926" s="1408"/>
      <c r="AE926" s="1408"/>
      <c r="AF926" s="1409"/>
      <c r="AZ926" s="34"/>
      <c r="BA926" s="34"/>
      <c r="BB926" s="34"/>
      <c r="BC926" s="34"/>
    </row>
    <row r="927" spans="1:58" ht="12.95" customHeight="1">
      <c r="F927" s="1600" t="s">
        <v>678</v>
      </c>
      <c r="G927" s="1601"/>
      <c r="H927" s="1601"/>
      <c r="I927" s="1601"/>
      <c r="J927" s="1601"/>
      <c r="K927" s="1601"/>
      <c r="L927" s="1601"/>
      <c r="M927" s="1601"/>
      <c r="N927" s="1601"/>
      <c r="O927" s="1601"/>
      <c r="P927" s="1601"/>
      <c r="Q927" s="1601"/>
      <c r="R927" s="1601"/>
      <c r="S927" s="1601"/>
      <c r="T927" s="1602"/>
      <c r="U927" s="1401" t="s">
        <v>590</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2192</v>
      </c>
      <c r="G928" s="1601"/>
      <c r="H928" s="1601"/>
      <c r="I928" s="1601"/>
      <c r="J928" s="1601"/>
      <c r="K928" s="1601"/>
      <c r="L928" s="1601"/>
      <c r="M928" s="1601"/>
      <c r="N928" s="1601"/>
      <c r="O928" s="1601"/>
      <c r="P928" s="1601"/>
      <c r="Q928" s="1601"/>
      <c r="R928" s="1601"/>
      <c r="S928" s="1601"/>
      <c r="T928" s="1602"/>
      <c r="U928" s="1401" t="s">
        <v>590</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2193</v>
      </c>
      <c r="G929" s="1601"/>
      <c r="H929" s="1601"/>
      <c r="I929" s="1601"/>
      <c r="J929" s="1601"/>
      <c r="K929" s="1601"/>
      <c r="L929" s="1601"/>
      <c r="M929" s="1601"/>
      <c r="N929" s="1601"/>
      <c r="O929" s="1601"/>
      <c r="P929" s="1601"/>
      <c r="Q929" s="1601"/>
      <c r="R929" s="1601"/>
      <c r="S929" s="1601"/>
      <c r="T929" s="1602"/>
      <c r="U929" s="1401" t="s">
        <v>590</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2194</v>
      </c>
      <c r="G930" s="1601"/>
      <c r="H930" s="1601"/>
      <c r="I930" s="1601"/>
      <c r="J930" s="1601"/>
      <c r="K930" s="1601"/>
      <c r="L930" s="1601"/>
      <c r="M930" s="1601"/>
      <c r="N930" s="1601"/>
      <c r="O930" s="1601"/>
      <c r="P930" s="1601"/>
      <c r="Q930" s="1601"/>
      <c r="R930" s="1601"/>
      <c r="S930" s="1601"/>
      <c r="T930" s="1602"/>
      <c r="U930" s="1401" t="s">
        <v>590</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2195</v>
      </c>
      <c r="G931" s="1601"/>
      <c r="H931" s="1601"/>
      <c r="I931" s="1601"/>
      <c r="J931" s="1601"/>
      <c r="K931" s="1601"/>
      <c r="L931" s="1601"/>
      <c r="M931" s="1601"/>
      <c r="N931" s="1601"/>
      <c r="O931" s="1601"/>
      <c r="P931" s="1601"/>
      <c r="Q931" s="1601"/>
      <c r="R931" s="1601"/>
      <c r="S931" s="1601"/>
      <c r="T931" s="1602"/>
      <c r="U931" s="1401" t="s">
        <v>590</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2196</v>
      </c>
      <c r="G932" s="1601"/>
      <c r="H932" s="1601"/>
      <c r="I932" s="1601"/>
      <c r="J932" s="1601"/>
      <c r="K932" s="1601"/>
      <c r="L932" s="1601"/>
      <c r="M932" s="1601"/>
      <c r="N932" s="1601"/>
      <c r="O932" s="1601"/>
      <c r="P932" s="1601"/>
      <c r="Q932" s="1601"/>
      <c r="R932" s="1601"/>
      <c r="S932" s="1601"/>
      <c r="T932" s="1602"/>
      <c r="U932" s="1401" t="s">
        <v>590</v>
      </c>
      <c r="V932" s="1402"/>
      <c r="W932" s="1402"/>
      <c r="X932" s="1402"/>
      <c r="Y932" s="1402"/>
      <c r="Z932" s="1403"/>
      <c r="AA932" s="1407"/>
      <c r="AB932" s="1408"/>
      <c r="AC932" s="1408"/>
      <c r="AD932" s="1408"/>
      <c r="AE932" s="1408"/>
      <c r="AF932" s="1409"/>
      <c r="AZ932" s="30"/>
      <c r="BA932" s="30"/>
    </row>
    <row r="933" spans="6:55" ht="12.95" customHeight="1">
      <c r="F933" s="178" t="s">
        <v>675</v>
      </c>
      <c r="G933" s="5"/>
      <c r="H933" s="5"/>
      <c r="I933" s="5"/>
      <c r="J933" s="5"/>
      <c r="K933" s="5"/>
      <c r="L933" s="5"/>
      <c r="M933" s="5"/>
      <c r="N933" s="5"/>
      <c r="O933" s="5"/>
      <c r="P933" s="5"/>
      <c r="Q933" s="5"/>
      <c r="R933" s="5"/>
      <c r="S933" s="5"/>
      <c r="T933" s="46"/>
      <c r="U933" s="1401" t="s">
        <v>590</v>
      </c>
      <c r="V933" s="1402"/>
      <c r="W933" s="1402"/>
      <c r="X933" s="1402"/>
      <c r="Y933" s="1402"/>
      <c r="Z933" s="1403"/>
      <c r="AA933" s="1407"/>
      <c r="AB933" s="1408"/>
      <c r="AC933" s="1408"/>
      <c r="AD933" s="1408"/>
      <c r="AE933" s="1408"/>
      <c r="AF933" s="1409"/>
    </row>
    <row r="934" spans="6:55" ht="12.95" customHeight="1">
      <c r="F934" s="121" t="s">
        <v>1276</v>
      </c>
      <c r="G934" s="5"/>
      <c r="H934" s="5"/>
      <c r="I934" s="5"/>
      <c r="J934" s="5"/>
      <c r="K934" s="5"/>
      <c r="L934" s="5"/>
      <c r="M934" s="5"/>
      <c r="N934" s="5"/>
      <c r="O934" s="5"/>
      <c r="P934" s="5"/>
      <c r="Q934" s="5"/>
      <c r="R934" s="5"/>
      <c r="S934" s="5"/>
      <c r="T934" s="46"/>
      <c r="U934" s="1401" t="s">
        <v>590</v>
      </c>
      <c r="V934" s="1402"/>
      <c r="W934" s="1402"/>
      <c r="X934" s="1402"/>
      <c r="Y934" s="1402"/>
      <c r="Z934" s="1403"/>
      <c r="AA934" s="1407"/>
      <c r="AB934" s="1408"/>
      <c r="AC934" s="1408"/>
      <c r="AD934" s="1408"/>
      <c r="AE934" s="1408"/>
      <c r="AF934" s="1409"/>
      <c r="AZ934" s="30"/>
      <c r="BA934" s="14"/>
    </row>
    <row r="935" spans="6:55" ht="12.95" customHeight="1">
      <c r="F935" s="66" t="s">
        <v>801</v>
      </c>
      <c r="G935" s="5"/>
      <c r="H935" s="5"/>
      <c r="I935" s="5"/>
      <c r="J935" s="5"/>
      <c r="K935" s="5"/>
      <c r="L935" s="5"/>
      <c r="M935" s="5"/>
      <c r="N935" s="5"/>
      <c r="O935" s="5"/>
      <c r="P935" s="5"/>
      <c r="Q935" s="5"/>
      <c r="R935" s="5"/>
      <c r="S935" s="5"/>
      <c r="T935" s="46"/>
      <c r="U935" s="1401" t="s">
        <v>590</v>
      </c>
      <c r="V935" s="1402"/>
      <c r="W935" s="1402"/>
      <c r="X935" s="1402"/>
      <c r="Y935" s="1402"/>
      <c r="Z935" s="1403"/>
      <c r="AA935" s="1407"/>
      <c r="AB935" s="1408"/>
      <c r="AC935" s="1408"/>
      <c r="AD935" s="1408"/>
      <c r="AE935" s="1408"/>
      <c r="AF935" s="1409"/>
      <c r="AZ935" s="30"/>
      <c r="BA935" s="14"/>
    </row>
    <row r="936" spans="6:55" ht="12.95" customHeight="1">
      <c r="F936" s="1638" t="s">
        <v>2200</v>
      </c>
      <c r="G936" s="1639"/>
      <c r="H936" s="1639"/>
      <c r="I936" s="1639"/>
      <c r="J936" s="1639"/>
      <c r="K936" s="1639"/>
      <c r="L936" s="1639"/>
      <c r="M936" s="1639"/>
      <c r="N936" s="1639"/>
      <c r="O936" s="1639"/>
      <c r="P936" s="1639"/>
      <c r="Q936" s="1639"/>
      <c r="R936" s="1639"/>
      <c r="S936" s="1639"/>
      <c r="T936" s="1640"/>
      <c r="U936" s="1401" t="s">
        <v>590</v>
      </c>
      <c r="V936" s="1402"/>
      <c r="W936" s="1402"/>
      <c r="X936" s="1402"/>
      <c r="Y936" s="1402"/>
      <c r="Z936" s="1403"/>
      <c r="AA936" s="1407"/>
      <c r="AB936" s="1408"/>
      <c r="AC936" s="1408"/>
      <c r="AD936" s="1408"/>
      <c r="AE936" s="1408"/>
      <c r="AF936" s="1409"/>
      <c r="AZ936" s="30"/>
      <c r="BA936" s="14"/>
    </row>
    <row r="937" spans="6:55" ht="12.95" customHeight="1">
      <c r="F937" s="1638" t="s">
        <v>2201</v>
      </c>
      <c r="G937" s="1639"/>
      <c r="H937" s="1639"/>
      <c r="I937" s="1639"/>
      <c r="J937" s="1639"/>
      <c r="K937" s="1639"/>
      <c r="L937" s="1639"/>
      <c r="M937" s="1639"/>
      <c r="N937" s="1639"/>
      <c r="O937" s="1639"/>
      <c r="P937" s="1639"/>
      <c r="Q937" s="1639"/>
      <c r="R937" s="1639"/>
      <c r="S937" s="1639"/>
      <c r="T937" s="1640"/>
      <c r="U937" s="1401" t="s">
        <v>590</v>
      </c>
      <c r="V937" s="1402"/>
      <c r="W937" s="1402"/>
      <c r="X937" s="1402"/>
      <c r="Y937" s="1402"/>
      <c r="Z937" s="1403"/>
      <c r="AA937" s="1407"/>
      <c r="AB937" s="1408"/>
      <c r="AC937" s="1408"/>
      <c r="AD937" s="1408"/>
      <c r="AE937" s="1408"/>
      <c r="AF937" s="1409"/>
      <c r="AZ937" s="30"/>
      <c r="BA937" s="30"/>
    </row>
    <row r="938" spans="6:55" ht="12.95" customHeight="1">
      <c r="F938" s="1600" t="s">
        <v>2197</v>
      </c>
      <c r="G938" s="1601"/>
      <c r="H938" s="1601"/>
      <c r="I938" s="1601"/>
      <c r="J938" s="1601"/>
      <c r="K938" s="1601"/>
      <c r="L938" s="1601"/>
      <c r="M938" s="1601"/>
      <c r="N938" s="1601"/>
      <c r="O938" s="1601"/>
      <c r="P938" s="1601"/>
      <c r="Q938" s="1601"/>
      <c r="R938" s="1601"/>
      <c r="S938" s="1601"/>
      <c r="T938" s="1602"/>
      <c r="U938" s="1401" t="s">
        <v>590</v>
      </c>
      <c r="V938" s="1402"/>
      <c r="W938" s="1402"/>
      <c r="X938" s="1402"/>
      <c r="Y938" s="1402"/>
      <c r="Z938" s="1403"/>
      <c r="AA938" s="1407"/>
      <c r="AB938" s="1408"/>
      <c r="AC938" s="1408"/>
      <c r="AD938" s="1408"/>
      <c r="AE938" s="1408"/>
      <c r="AF938" s="1409"/>
      <c r="AZ938" s="30"/>
      <c r="BA938" s="30"/>
    </row>
    <row r="939" spans="6:55" ht="12.95" customHeight="1">
      <c r="F939" s="1600" t="s">
        <v>2198</v>
      </c>
      <c r="G939" s="1601"/>
      <c r="H939" s="1601"/>
      <c r="I939" s="1601"/>
      <c r="J939" s="1601"/>
      <c r="K939" s="1601"/>
      <c r="L939" s="1601"/>
      <c r="M939" s="1601"/>
      <c r="N939" s="1601"/>
      <c r="O939" s="1601"/>
      <c r="P939" s="1601"/>
      <c r="Q939" s="1601"/>
      <c r="R939" s="1601"/>
      <c r="S939" s="1601"/>
      <c r="T939" s="1602"/>
      <c r="U939" s="1401" t="s">
        <v>590</v>
      </c>
      <c r="V939" s="1402"/>
      <c r="W939" s="1402"/>
      <c r="X939" s="1402"/>
      <c r="Y939" s="1402"/>
      <c r="Z939" s="1403"/>
      <c r="AA939" s="1407"/>
      <c r="AB939" s="1408"/>
      <c r="AC939" s="1408"/>
      <c r="AD939" s="1408"/>
      <c r="AE939" s="1408"/>
      <c r="AF939" s="1409"/>
      <c r="AZ939" s="30"/>
      <c r="BA939" s="30"/>
    </row>
    <row r="940" spans="6:55" ht="12.95" customHeight="1">
      <c r="F940" s="1600" t="s">
        <v>2199</v>
      </c>
      <c r="G940" s="1601"/>
      <c r="H940" s="1601"/>
      <c r="I940" s="1601"/>
      <c r="J940" s="1601"/>
      <c r="K940" s="1601"/>
      <c r="L940" s="1601"/>
      <c r="M940" s="1601"/>
      <c r="N940" s="1601"/>
      <c r="O940" s="1601"/>
      <c r="P940" s="1601"/>
      <c r="Q940" s="1601"/>
      <c r="R940" s="1601"/>
      <c r="S940" s="1601"/>
      <c r="T940" s="1602"/>
      <c r="U940" s="1401" t="s">
        <v>590</v>
      </c>
      <c r="V940" s="1402"/>
      <c r="W940" s="1402"/>
      <c r="X940" s="1402"/>
      <c r="Y940" s="1402"/>
      <c r="Z940" s="1403"/>
      <c r="AA940" s="1407"/>
      <c r="AB940" s="1408"/>
      <c r="AC940" s="1408"/>
      <c r="AD940" s="1408"/>
      <c r="AE940" s="1408"/>
      <c r="AF940" s="1409"/>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1" t="s">
        <v>590</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2202</v>
      </c>
      <c r="G942" s="1639"/>
      <c r="H942" s="1639"/>
      <c r="I942" s="1639"/>
      <c r="J942" s="1639"/>
      <c r="K942" s="1639"/>
      <c r="L942" s="1639"/>
      <c r="M942" s="1639"/>
      <c r="N942" s="1639"/>
      <c r="O942" s="1639"/>
      <c r="P942" s="1639"/>
      <c r="Q942" s="1639"/>
      <c r="R942" s="1639"/>
      <c r="S942" s="1639"/>
      <c r="T942" s="1640"/>
      <c r="U942" s="1401" t="s">
        <v>590</v>
      </c>
      <c r="V942" s="1402"/>
      <c r="W942" s="1402"/>
      <c r="X942" s="1402"/>
      <c r="Y942" s="1402"/>
      <c r="Z942" s="1403"/>
      <c r="AA942" s="1407"/>
      <c r="AB942" s="1408"/>
      <c r="AC942" s="1408"/>
      <c r="AD942" s="1408"/>
      <c r="AE942" s="1408"/>
      <c r="AF942" s="1409"/>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1" t="s">
        <v>590</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2203</v>
      </c>
      <c r="G944" s="1639"/>
      <c r="H944" s="1639"/>
      <c r="I944" s="1639"/>
      <c r="J944" s="1639"/>
      <c r="K944" s="1639"/>
      <c r="L944" s="1639"/>
      <c r="M944" s="1639"/>
      <c r="N944" s="1639"/>
      <c r="O944" s="1639"/>
      <c r="P944" s="1639"/>
      <c r="Q944" s="1639"/>
      <c r="R944" s="1639"/>
      <c r="S944" s="1639"/>
      <c r="T944" s="1640"/>
      <c r="U944" s="1401" t="s">
        <v>590</v>
      </c>
      <c r="V944" s="1402"/>
      <c r="W944" s="1402"/>
      <c r="X944" s="1402"/>
      <c r="Y944" s="1402"/>
      <c r="Z944" s="1403"/>
      <c r="AA944" s="1407"/>
      <c r="AB944" s="1408"/>
      <c r="AC944" s="1408"/>
      <c r="AD944" s="1408"/>
      <c r="AE944" s="1408"/>
      <c r="AF944" s="1409"/>
      <c r="AZ944" s="34"/>
      <c r="BA944" s="34"/>
      <c r="BB944" s="34"/>
      <c r="BC944" s="34"/>
    </row>
    <row r="945" spans="1:55" ht="12.95" customHeight="1">
      <c r="F945" s="45" t="s">
        <v>805</v>
      </c>
      <c r="G945" s="5"/>
      <c r="H945" s="5"/>
      <c r="I945" s="5"/>
      <c r="J945" s="5"/>
      <c r="K945" s="5"/>
      <c r="L945" s="5"/>
      <c r="M945" s="5"/>
      <c r="N945" s="5"/>
      <c r="O945" s="5"/>
      <c r="P945" s="1401" t="s">
        <v>668</v>
      </c>
      <c r="Q945" s="1402"/>
      <c r="R945" s="1402"/>
      <c r="S945" s="1402"/>
      <c r="T945" s="1403"/>
      <c r="U945" s="1401" t="s">
        <v>590</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2190</v>
      </c>
      <c r="G946" s="1601"/>
      <c r="H946" s="1602"/>
      <c r="I946" s="1592" t="s">
        <v>334</v>
      </c>
      <c r="J946" s="1593"/>
      <c r="K946" s="1593"/>
      <c r="L946" s="1593"/>
      <c r="M946" s="1593"/>
      <c r="N946" s="1593"/>
      <c r="O946" s="1593"/>
      <c r="P946" s="1593"/>
      <c r="Q946" s="1593"/>
      <c r="R946" s="1593"/>
      <c r="S946" s="1593"/>
      <c r="T946" s="1594"/>
      <c r="U946" s="1401" t="s">
        <v>590</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334</v>
      </c>
      <c r="J947" s="1593"/>
      <c r="K947" s="1593"/>
      <c r="L947" s="1593"/>
      <c r="M947" s="1593"/>
      <c r="N947" s="1593"/>
      <c r="O947" s="1593"/>
      <c r="P947" s="1593"/>
      <c r="Q947" s="1593"/>
      <c r="R947" s="1593"/>
      <c r="S947" s="1593"/>
      <c r="T947" s="1594"/>
      <c r="U947" s="1401" t="s">
        <v>590</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334</v>
      </c>
      <c r="J948" s="1536"/>
      <c r="K948" s="1536"/>
      <c r="L948" s="1536"/>
      <c r="M948" s="1536"/>
      <c r="N948" s="1536"/>
      <c r="O948" s="1536"/>
      <c r="P948" s="1536"/>
      <c r="Q948" s="1536"/>
      <c r="R948" s="1536"/>
      <c r="S948" s="1536"/>
      <c r="T948" s="1537"/>
      <c r="U948" s="1401" t="s">
        <v>590</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170</v>
      </c>
      <c r="G949" s="48"/>
      <c r="H949" s="48"/>
      <c r="I949" s="1535" t="s">
        <v>334</v>
      </c>
      <c r="J949" s="1536"/>
      <c r="K949" s="1536"/>
      <c r="L949" s="1536"/>
      <c r="M949" s="1536"/>
      <c r="N949" s="1536"/>
      <c r="O949" s="1536"/>
      <c r="P949" s="1536"/>
      <c r="Q949" s="1536"/>
      <c r="R949" s="1536"/>
      <c r="S949" s="1536"/>
      <c r="T949" s="1537"/>
      <c r="U949" s="1401" t="s">
        <v>590</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170</v>
      </c>
      <c r="G950" s="48"/>
      <c r="H950" s="48"/>
      <c r="I950" s="1535" t="s">
        <v>334</v>
      </c>
      <c r="J950" s="1536"/>
      <c r="K950" s="1536"/>
      <c r="L950" s="1536"/>
      <c r="M950" s="1536"/>
      <c r="N950" s="1536"/>
      <c r="O950" s="1536"/>
      <c r="P950" s="1536"/>
      <c r="Q950" s="1536"/>
      <c r="R950" s="1536"/>
      <c r="S950" s="1536"/>
      <c r="T950" s="1537"/>
      <c r="U950" s="1401" t="s">
        <v>590</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v>41671</v>
      </c>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t="s">
        <v>2712</v>
      </c>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879</v>
      </c>
      <c r="D957" s="5"/>
      <c r="E957" s="5"/>
      <c r="J957" s="1552" t="s">
        <v>2713</v>
      </c>
      <c r="K957" s="1553"/>
      <c r="L957" s="1553"/>
      <c r="M957" s="1553"/>
      <c r="N957" s="1553"/>
      <c r="O957" s="1553"/>
      <c r="P957" s="1553"/>
      <c r="Q957" s="1553"/>
      <c r="R957" s="1553"/>
      <c r="S957" s="1554"/>
      <c r="U957" s="66" t="s">
        <v>879</v>
      </c>
      <c r="V957" s="5"/>
      <c r="W957" s="5"/>
      <c r="AB957" s="1552" t="s">
        <v>307</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v>0.82</v>
      </c>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v>122</v>
      </c>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v>3629880</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v>72597600</v>
      </c>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1660</v>
      </c>
      <c r="D962" s="5"/>
      <c r="E962" s="5"/>
      <c r="F962" s="5"/>
      <c r="G962" s="5"/>
      <c r="H962" s="5"/>
      <c r="I962" s="5"/>
      <c r="J962" s="5"/>
      <c r="K962" s="5"/>
      <c r="L962" s="46"/>
      <c r="M962" s="1404">
        <v>20</v>
      </c>
      <c r="N962" s="1405"/>
      <c r="O962" s="1405"/>
      <c r="P962" s="1405"/>
      <c r="Q962" s="1405"/>
      <c r="R962" s="1405"/>
      <c r="S962" s="1406"/>
      <c r="U962" s="121" t="s">
        <v>1660</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529"/>
      <c r="N967" s="1530"/>
      <c r="O967" s="1530"/>
      <c r="P967" s="1530"/>
      <c r="Q967" s="1530"/>
      <c r="R967" s="1530"/>
      <c r="S967" s="1531"/>
      <c r="T967" s="66" t="s">
        <v>789</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529"/>
      <c r="N968" s="1530"/>
      <c r="O968" s="1530"/>
      <c r="P968" s="1530"/>
      <c r="Q968" s="1530"/>
      <c r="R968" s="1530"/>
      <c r="S968" s="1531"/>
      <c r="T968" s="66" t="s">
        <v>788</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2" t="s">
        <v>590</v>
      </c>
      <c r="N969" s="1643"/>
      <c r="O969" s="1643"/>
      <c r="P969" s="1643"/>
      <c r="Q969" s="1643"/>
      <c r="R969" s="1643"/>
      <c r="S969" s="1644"/>
      <c r="T969" s="45" t="s">
        <v>337</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529"/>
      <c r="N970" s="1530"/>
      <c r="O970" s="1530"/>
      <c r="P970" s="1530"/>
      <c r="Q970" s="1530"/>
      <c r="R970" s="1530"/>
      <c r="S970" s="1531"/>
      <c r="T970" s="45" t="s">
        <v>338</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529" t="s">
        <v>115</v>
      </c>
      <c r="N971" s="1530"/>
      <c r="O971" s="1530"/>
      <c r="P971" s="1530"/>
      <c r="Q971" s="1530"/>
      <c r="R971" s="1530"/>
      <c r="S971" s="1531"/>
      <c r="T971" s="45" t="s">
        <v>375</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2" t="s">
        <v>2713</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6" t="s">
        <v>544</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v>72597600</v>
      </c>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547</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637</v>
      </c>
      <c r="E985" s="1549"/>
      <c r="F985" s="1549"/>
      <c r="G985" s="1549"/>
      <c r="H985" s="1549"/>
      <c r="I985" s="1549"/>
      <c r="J985" s="1549"/>
      <c r="K985" s="1549"/>
      <c r="L985" s="1549"/>
      <c r="M985" s="1549"/>
      <c r="N985" s="1549"/>
      <c r="O985" s="1549"/>
      <c r="P985" s="1549"/>
      <c r="Q985" s="1550"/>
      <c r="R985" s="1548" t="s">
        <v>638</v>
      </c>
      <c r="S985" s="1549"/>
      <c r="T985" s="1549"/>
      <c r="U985" s="1549"/>
      <c r="V985" s="1549"/>
      <c r="W985" s="1549"/>
      <c r="X985" s="1549"/>
      <c r="Y985" s="1549"/>
      <c r="Z985" s="1549"/>
      <c r="AA985" s="1550"/>
      <c r="AB985" s="1548" t="s">
        <v>639</v>
      </c>
      <c r="AC985" s="1549"/>
      <c r="AD985" s="1549"/>
      <c r="AE985" s="1549"/>
      <c r="AF985" s="1549"/>
      <c r="AG985" s="1549"/>
      <c r="AH985" s="1549"/>
      <c r="AI985" s="1550"/>
      <c r="AJ985" s="1548" t="s">
        <v>640</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6" t="s">
        <v>632</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353173</v>
      </c>
      <c r="S986" s="1551"/>
      <c r="T986" s="1551"/>
      <c r="U986" s="1551"/>
      <c r="V986" s="1551"/>
      <c r="W986" s="1551"/>
      <c r="X986" s="1551"/>
      <c r="Y986" s="1551"/>
      <c r="Z986" s="1551"/>
      <c r="AA986" s="1551"/>
      <c r="AB986" s="1389">
        <f>CP802</f>
        <v>99</v>
      </c>
      <c r="AC986" s="1390"/>
      <c r="AD986" s="1390"/>
      <c r="AE986" s="1390"/>
      <c r="AF986" s="1390"/>
      <c r="AG986" s="1390"/>
      <c r="AH986" s="1390"/>
      <c r="AI986" s="1391"/>
      <c r="AJ986" s="1487">
        <f>IF(ISERROR((R986*AB986)),0,(R986*AB986))</f>
        <v>34964127</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407205</v>
      </c>
      <c r="S987" s="1551"/>
      <c r="T987" s="1551"/>
      <c r="U987" s="1551"/>
      <c r="V987" s="1551"/>
      <c r="W987" s="1551"/>
      <c r="X987" s="1551"/>
      <c r="Y987" s="1551"/>
      <c r="Z987" s="1551"/>
      <c r="AA987" s="1551"/>
      <c r="AB987" s="1389">
        <f>CU802</f>
        <v>50</v>
      </c>
      <c r="AC987" s="1390"/>
      <c r="AD987" s="1390"/>
      <c r="AE987" s="1390"/>
      <c r="AF987" s="1390"/>
      <c r="AG987" s="1390"/>
      <c r="AH987" s="1390"/>
      <c r="AI987" s="1391"/>
      <c r="AJ987" s="1487">
        <f>IF(ISERROR((R987*AB987)),0,(R987*AB987))</f>
        <v>20360250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491200</v>
      </c>
      <c r="S988" s="1551"/>
      <c r="T988" s="1551"/>
      <c r="U988" s="1551"/>
      <c r="V988" s="1551"/>
      <c r="W988" s="1551"/>
      <c r="X988" s="1551"/>
      <c r="Y988" s="1551"/>
      <c r="Z988" s="1551"/>
      <c r="AA988" s="1551"/>
      <c r="AB988" s="1389">
        <f>CZ802</f>
        <v>0</v>
      </c>
      <c r="AC988" s="1390"/>
      <c r="AD988" s="1390"/>
      <c r="AE988" s="1390"/>
      <c r="AF988" s="1390"/>
      <c r="AG988" s="1390"/>
      <c r="AH988" s="1390"/>
      <c r="AI988" s="1391"/>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628736</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459</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700451</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790</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149</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511</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55324377</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665</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667</v>
      </c>
      <c r="D994" s="1503" t="s">
        <v>1219</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668</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2233</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2204</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1285</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668</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1283</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147</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0.49</v>
      </c>
      <c r="AZ1006" s="34"/>
      <c r="BB1006" s="34"/>
    </row>
    <row r="1007" spans="1:55" ht="12.95" customHeight="1">
      <c r="A1007" s="14"/>
      <c r="B1007" s="255"/>
      <c r="C1007" s="80" t="s">
        <v>671</v>
      </c>
      <c r="D1007" s="1493" t="s">
        <v>1682</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668</v>
      </c>
      <c r="AH1007" s="1502"/>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1284</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212</v>
      </c>
      <c r="D1011" s="1493" t="s">
        <v>1286</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668</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1287</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1840</v>
      </c>
      <c r="AZ1012" s="3" t="s">
        <v>2605</v>
      </c>
    </row>
    <row r="1013" spans="1:52" ht="12.95" customHeight="1">
      <c r="A1013" s="14"/>
      <c r="B1013" s="79"/>
      <c r="C1013" s="80" t="s">
        <v>215</v>
      </c>
      <c r="D1013" s="1493" t="s">
        <v>1288</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668</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1289</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5">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5"/>
        <v>0</v>
      </c>
      <c r="AZ1015" s="1255">
        <v>0.05</v>
      </c>
    </row>
    <row r="1016" spans="1:52" ht="12.95" customHeight="1">
      <c r="A1016" s="14"/>
      <c r="B1016" s="79"/>
      <c r="C1016" s="80" t="s">
        <v>218</v>
      </c>
      <c r="D1016" s="1503" t="s">
        <v>2234</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668</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5"/>
        <v>0</v>
      </c>
      <c r="AZ1016" s="1255">
        <v>0.02</v>
      </c>
    </row>
    <row r="1017" spans="1:52" ht="12.95" customHeight="1">
      <c r="A1017" s="14"/>
      <c r="B1017" s="73"/>
      <c r="C1017" s="74"/>
      <c r="D1017" s="1506" t="s">
        <v>1290</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5"/>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5"/>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5"/>
        <v>0</v>
      </c>
      <c r="AZ1019" s="1255">
        <v>0.01</v>
      </c>
    </row>
    <row r="1020" spans="1:52" ht="12.95" customHeight="1">
      <c r="A1020" s="14"/>
      <c r="B1020" s="79"/>
      <c r="C1020" s="80" t="s">
        <v>223</v>
      </c>
      <c r="D1020" s="1520" t="s">
        <v>1291</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544</v>
      </c>
      <c r="AH1020" s="1502"/>
      <c r="AI1020" s="87"/>
      <c r="AJ1020" s="1392">
        <f>ROUND(IF(AND(AG1020="Yes",J1024&lt;&gt;"N/A",AF1023&lt;&gt;""),MIN(AF1023,(0.15*AJ992)),0),0)</f>
        <v>580600</v>
      </c>
      <c r="AK1020" s="1393"/>
      <c r="AL1020" s="1393"/>
      <c r="AM1020" s="1393"/>
      <c r="AN1020" s="1393"/>
      <c r="AO1020" s="1393"/>
      <c r="AP1020" s="1393"/>
      <c r="AQ1020" s="1394"/>
      <c r="AR1020" s="68"/>
      <c r="AS1020" s="68"/>
      <c r="AT1020" s="68"/>
      <c r="AU1020" s="68"/>
      <c r="AV1020" s="68"/>
      <c r="AW1020" s="68"/>
      <c r="AX1020" s="3">
        <v>8</v>
      </c>
      <c r="AY1020" s="200">
        <f t="shared" si="55"/>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Please Select Type and Enter Amount:</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55"/>
        <v>0</v>
      </c>
      <c r="AZ1021" s="1255">
        <v>0.01</v>
      </c>
    </row>
    <row r="1022" spans="1:52" ht="12.95" customHeight="1">
      <c r="A1022" s="14"/>
      <c r="B1022" s="81"/>
      <c r="C1022" s="84"/>
      <c r="D1022" s="1506" t="s">
        <v>1292</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55"/>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v>580600</v>
      </c>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55"/>
        <v>0</v>
      </c>
      <c r="AZ1023" s="1255">
        <v>0.02</v>
      </c>
    </row>
    <row r="1024" spans="1:52" ht="12.95" customHeight="1">
      <c r="A1024" s="14"/>
      <c r="B1024" s="81"/>
      <c r="C1024" s="84"/>
      <c r="D1024" s="526" t="s">
        <v>359</v>
      </c>
      <c r="E1024" s="90"/>
      <c r="F1024" s="90"/>
      <c r="G1024" s="104"/>
      <c r="H1024" s="104"/>
      <c r="I1024" s="49"/>
      <c r="J1024" s="1484" t="s">
        <v>2714</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2" t="s">
        <v>2604</v>
      </c>
      <c r="AY1024" s="201">
        <f>IF(SUM(AY1013:AY1023)&lt;=0.2,SUM(AY1013:AY1023),0.2)</f>
        <v>0</v>
      </c>
    </row>
    <row r="1025" spans="1:57" ht="12.95" customHeight="1">
      <c r="A1025" s="14"/>
      <c r="B1025" s="79"/>
      <c r="C1025" s="80" t="s">
        <v>229</v>
      </c>
      <c r="D1025" s="1493" t="s">
        <v>1293</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668</v>
      </c>
      <c r="AH1025" s="1502"/>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1689</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3" t="s">
        <v>1294</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544</v>
      </c>
      <c r="AH1029" s="1502"/>
      <c r="AI1029" s="87"/>
      <c r="AJ1029" s="1392">
        <f>ROUND(IF(AG1029="yes",(AJ992*0.1),0),0)</f>
        <v>5532438</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1295</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686</v>
      </c>
      <c r="D1032" s="1493" t="s">
        <v>1685</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t="s">
        <v>544</v>
      </c>
      <c r="AH1032" s="1502"/>
      <c r="AI1032" s="87"/>
      <c r="AJ1032" s="1392">
        <f>ROUND(IF(AG1032="yes",(AJ992*0.15),0),0)</f>
        <v>8298657</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686</v>
      </c>
      <c r="D1036" s="1503" t="s">
        <v>1687</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668</v>
      </c>
      <c r="AH1036" s="1582"/>
      <c r="AI1036" s="83"/>
      <c r="AJ1036" s="1392">
        <f>ROUND(IF(AND(AG1036="yes",AJ1032=0),(AJ992*0.1),0),0)</f>
        <v>0</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60000</v>
      </c>
      <c r="BB1038" s="1183" t="s">
        <v>2487</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0.49659863945578231</v>
      </c>
      <c r="BB1039" s="3" t="s">
        <v>2491</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493" t="s">
        <v>1296</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668</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2489</v>
      </c>
    </row>
    <row r="1042" spans="1:56" ht="12.95" customHeight="1">
      <c r="A1042" s="14"/>
      <c r="B1042" s="73"/>
      <c r="C1042" s="74"/>
      <c r="D1042" s="1506" t="s">
        <v>2143</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2490</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1683</v>
      </c>
      <c r="D1045" s="1503" t="s">
        <v>1863</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No</v>
      </c>
      <c r="AH1045" s="1572"/>
      <c r="AI1045" s="87"/>
      <c r="AJ1045" s="1392">
        <f>IF((X1048=0),0,AY1005*AJ992)</f>
        <v>0</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506" t="s">
        <v>1298</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1781711.25</v>
      </c>
      <c r="BA1046" s="1182">
        <f>IF(BA1040,20%,15%)</f>
        <v>0.15</v>
      </c>
      <c r="BB1046" s="3" t="s">
        <v>2477</v>
      </c>
      <c r="BC1046" s="3" t="s">
        <v>2478</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569">
        <f>AY1003</f>
        <v>147</v>
      </c>
      <c r="J1048" s="1570"/>
      <c r="K1048" s="7"/>
      <c r="L1048" s="133"/>
      <c r="M1048" s="133"/>
      <c r="N1048" s="133"/>
      <c r="O1048" s="133"/>
      <c r="P1048" s="133"/>
      <c r="Q1048" s="133"/>
      <c r="R1048" s="133"/>
      <c r="S1048" s="133"/>
      <c r="T1048" s="133"/>
      <c r="U1048" s="133"/>
      <c r="V1048" s="134" t="s">
        <v>972</v>
      </c>
      <c r="W1048" s="48"/>
      <c r="X1048" s="1567">
        <f>CI753</f>
        <v>0</v>
      </c>
      <c r="Y1048" s="1568"/>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7950000</v>
      </c>
      <c r="BA1048" s="1182" cm="1">
        <f t="array" ref="BA1048">_xlfn.IFS(X180="Yes",5%,$BA$1038&gt;50000,15%,BA1039&gt;=30%,15%,TRUE,5%)</f>
        <v>0.15</v>
      </c>
      <c r="BB1048" s="3" t="s">
        <v>2477</v>
      </c>
      <c r="BC1048" s="3" t="s">
        <v>2480</v>
      </c>
      <c r="BD1048" s="3"/>
    </row>
    <row r="1049" spans="1:56" ht="12.95" customHeight="1">
      <c r="A1049" s="14"/>
      <c r="B1049" s="79"/>
      <c r="C1049" s="131" t="s">
        <v>1684</v>
      </c>
      <c r="D1049" s="1493" t="s">
        <v>2169</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54217889.460000001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506" t="s">
        <v>1297</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69">
        <f>AY1003</f>
        <v>147</v>
      </c>
      <c r="J1052" s="1570"/>
      <c r="K1052" s="14"/>
      <c r="L1052" s="133"/>
      <c r="M1052" s="133"/>
      <c r="N1052" s="133"/>
      <c r="O1052" s="133"/>
      <c r="P1052" s="133"/>
      <c r="Q1052" s="133"/>
      <c r="R1052" s="133"/>
      <c r="S1052" s="133"/>
      <c r="T1052" s="133"/>
      <c r="U1052" s="133"/>
      <c r="V1052" s="134" t="s">
        <v>973</v>
      </c>
      <c r="X1052" s="1567">
        <f>CM753</f>
        <v>73</v>
      </c>
      <c r="Y1052" s="1568"/>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565" t="s">
        <v>512</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123953961.46000001</v>
      </c>
      <c r="AK1053" s="1579"/>
      <c r="AL1053" s="1579"/>
      <c r="AM1053" s="1579"/>
      <c r="AN1053" s="1579"/>
      <c r="AO1053" s="1579"/>
      <c r="AP1053" s="1579"/>
      <c r="AQ1053" s="1580"/>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64878075</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9731711.25</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0.93033738694086465</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0</v>
      </c>
      <c r="BB1058" s="3" t="s">
        <v>2492</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0</v>
      </c>
      <c r="BB1059" s="3" t="s">
        <v>2493</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2" t="s">
        <v>793</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590</v>
      </c>
      <c r="B1065" s="1332"/>
      <c r="C1065" s="1333">
        <v>1</v>
      </c>
      <c r="D1065" s="1333"/>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590</v>
      </c>
      <c r="B1067" s="1332"/>
      <c r="C1067" s="1333">
        <v>2</v>
      </c>
      <c r="D1067" s="1333"/>
      <c r="E1067" s="1336" t="s">
        <v>2236</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590</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590</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590</v>
      </c>
      <c r="B1081" s="1332"/>
      <c r="C1081" s="1335">
        <v>5</v>
      </c>
      <c r="D1081" s="1335"/>
      <c r="E1081" s="1292" t="s">
        <v>2240</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590</v>
      </c>
      <c r="B1085" s="1332"/>
      <c r="C1085" s="1335">
        <v>6</v>
      </c>
      <c r="D1085" s="1335"/>
      <c r="E1085" s="1292" t="s">
        <v>2241</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590</v>
      </c>
      <c r="B1089" s="1332"/>
      <c r="C1089" s="1335">
        <v>7</v>
      </c>
      <c r="D1089" s="1335"/>
      <c r="E1089" s="1292" t="s">
        <v>2137</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590</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590</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590</v>
      </c>
      <c r="B1100" s="1332"/>
      <c r="C1100" s="1333">
        <v>10</v>
      </c>
      <c r="D1100" s="1333"/>
      <c r="E1100" s="1334" t="s">
        <v>2237</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590</v>
      </c>
      <c r="B1103" s="1332"/>
      <c r="C1103" s="1333">
        <v>11</v>
      </c>
      <c r="D1103" s="1333"/>
      <c r="E1103" s="1334" t="s">
        <v>2239</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590</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58" t="s">
        <v>620</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373</v>
      </c>
      <c r="D2" s="138" t="s">
        <v>372</v>
      </c>
      <c r="E2" s="138" t="s">
        <v>24</v>
      </c>
      <c r="F2" s="139" t="str">
        <f>Application!B627&amp;Application!C627</f>
        <v>1)Berkadia - MTEB</v>
      </c>
      <c r="G2" s="139" t="str">
        <f>Application!B628&amp;Application!C628</f>
        <v>2)Berkadia - Tax-Exempt</v>
      </c>
      <c r="H2" s="139" t="str">
        <f>Application!B629&amp;Application!C629</f>
        <v>3)Berkadis - Taxable</v>
      </c>
      <c r="I2" s="139" t="str">
        <f>Application!B630&amp;Application!C630</f>
        <v>4)Green Manor Fund,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 t="shared" ref="E4:E7" si="0">IFERROR(C4-SUM(F4:G4),0)</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592</v>
      </c>
      <c r="B8" s="146">
        <f>SUM(C8:D8)</f>
        <v>0</v>
      </c>
      <c r="C8" s="146">
        <f t="shared" ref="C8:Q8" si="1">SUM(C4:C7)</f>
        <v>0</v>
      </c>
      <c r="D8" s="146">
        <f t="shared" si="1"/>
        <v>0</v>
      </c>
      <c r="E8" s="146">
        <f t="shared" si="1"/>
        <v>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0</v>
      </c>
      <c r="S8" s="148"/>
      <c r="T8" s="148"/>
      <c r="U8" s="143"/>
    </row>
    <row r="9" spans="1:21" s="144" customFormat="1">
      <c r="A9" s="145" t="s">
        <v>593</v>
      </c>
      <c r="B9" s="146">
        <f>SUM(C9+D9)</f>
        <v>53000000</v>
      </c>
      <c r="C9" s="147">
        <v>53000000</v>
      </c>
      <c r="D9" s="147"/>
      <c r="E9" s="147">
        <f>IFERROR(C9-SUM(F9:J9),0)</f>
        <v>10176790</v>
      </c>
      <c r="F9" s="147">
        <f>+Application!AO627</f>
        <v>16230000</v>
      </c>
      <c r="G9" s="147">
        <f>+Application!AO628</f>
        <v>5500000</v>
      </c>
      <c r="H9" s="147">
        <f>+Application!AO629</f>
        <v>14450000</v>
      </c>
      <c r="I9" s="147">
        <f>+Application!AO630</f>
        <v>6643210</v>
      </c>
      <c r="J9" s="147"/>
      <c r="K9" s="147"/>
      <c r="L9" s="147"/>
      <c r="M9" s="147"/>
      <c r="N9" s="147"/>
      <c r="O9" s="147"/>
      <c r="P9" s="147"/>
      <c r="Q9" s="147"/>
      <c r="R9" s="516">
        <f>SUM(E9:Q9)</f>
        <v>53000000</v>
      </c>
      <c r="S9" s="148"/>
      <c r="T9" s="147">
        <f>+R9</f>
        <v>53000000</v>
      </c>
      <c r="U9" s="143"/>
    </row>
    <row r="10" spans="1:21" s="144" customFormat="1">
      <c r="A10" s="145" t="s">
        <v>594</v>
      </c>
      <c r="B10" s="146">
        <f>SUM(C10+D10)</f>
        <v>0</v>
      </c>
      <c r="C10" s="147"/>
      <c r="D10" s="147"/>
      <c r="E10" s="147">
        <f t="shared" ref="E10" si="2">IFERROR(C10-SUM(F10:G10),0)</f>
        <v>0</v>
      </c>
      <c r="F10" s="147"/>
      <c r="G10" s="147"/>
      <c r="H10" s="147"/>
      <c r="I10" s="147"/>
      <c r="J10" s="147"/>
      <c r="K10" s="147"/>
      <c r="L10" s="147"/>
      <c r="M10" s="147"/>
      <c r="N10" s="147"/>
      <c r="O10" s="147"/>
      <c r="P10" s="147"/>
      <c r="Q10" s="147"/>
      <c r="R10" s="516">
        <f>SUM(E10:Q10)</f>
        <v>0</v>
      </c>
      <c r="S10" s="147"/>
      <c r="T10" s="147"/>
      <c r="U10" s="143"/>
    </row>
    <row r="11" spans="1:21" s="144" customFormat="1">
      <c r="A11" s="149" t="s">
        <v>595</v>
      </c>
      <c r="B11" s="146">
        <f>SUM(C11:D11)</f>
        <v>53000000</v>
      </c>
      <c r="C11" s="146">
        <f t="shared" ref="C11:Q11" si="3">SUM(C9:C10)</f>
        <v>53000000</v>
      </c>
      <c r="D11" s="146">
        <f t="shared" si="3"/>
        <v>0</v>
      </c>
      <c r="E11" s="146">
        <f t="shared" si="3"/>
        <v>10176790</v>
      </c>
      <c r="F11" s="146">
        <f t="shared" si="3"/>
        <v>16230000</v>
      </c>
      <c r="G11" s="146">
        <f t="shared" si="3"/>
        <v>5500000</v>
      </c>
      <c r="H11" s="146">
        <f t="shared" si="3"/>
        <v>14450000</v>
      </c>
      <c r="I11" s="146">
        <f t="shared" si="3"/>
        <v>6643210</v>
      </c>
      <c r="J11" s="146">
        <f t="shared" si="3"/>
        <v>0</v>
      </c>
      <c r="K11" s="146">
        <f t="shared" si="3"/>
        <v>0</v>
      </c>
      <c r="L11" s="146">
        <f t="shared" si="3"/>
        <v>0</v>
      </c>
      <c r="M11" s="146">
        <f t="shared" si="3"/>
        <v>0</v>
      </c>
      <c r="N11" s="146">
        <f t="shared" si="3"/>
        <v>0</v>
      </c>
      <c r="O11" s="146">
        <f t="shared" si="3"/>
        <v>0</v>
      </c>
      <c r="P11" s="146"/>
      <c r="Q11" s="146">
        <f t="shared" si="3"/>
        <v>0</v>
      </c>
      <c r="R11" s="342">
        <f>SUM(R9:R10)</f>
        <v>53000000</v>
      </c>
      <c r="S11" s="148"/>
      <c r="T11" s="150">
        <f>SUM(T9:T10)</f>
        <v>53000000</v>
      </c>
      <c r="U11" s="143"/>
    </row>
    <row r="12" spans="1:21" s="144" customFormat="1">
      <c r="A12" s="149" t="s">
        <v>84</v>
      </c>
      <c r="B12" s="146">
        <f t="shared" ref="B12:Q12" si="4">SUM(B8+B11)</f>
        <v>53000000</v>
      </c>
      <c r="C12" s="146">
        <f t="shared" si="4"/>
        <v>53000000</v>
      </c>
      <c r="D12" s="146">
        <f t="shared" si="4"/>
        <v>0</v>
      </c>
      <c r="E12" s="146">
        <f t="shared" si="4"/>
        <v>10176790</v>
      </c>
      <c r="F12" s="146">
        <f t="shared" si="4"/>
        <v>16230000</v>
      </c>
      <c r="G12" s="146">
        <f t="shared" si="4"/>
        <v>5500000</v>
      </c>
      <c r="H12" s="146">
        <f t="shared" si="4"/>
        <v>14450000</v>
      </c>
      <c r="I12" s="146">
        <f t="shared" si="4"/>
        <v>6643210</v>
      </c>
      <c r="J12" s="146">
        <f t="shared" si="4"/>
        <v>0</v>
      </c>
      <c r="K12" s="146">
        <f t="shared" si="4"/>
        <v>0</v>
      </c>
      <c r="L12" s="146">
        <f t="shared" si="4"/>
        <v>0</v>
      </c>
      <c r="M12" s="146">
        <f t="shared" si="4"/>
        <v>0</v>
      </c>
      <c r="N12" s="146">
        <f t="shared" si="4"/>
        <v>0</v>
      </c>
      <c r="O12" s="146">
        <f t="shared" si="4"/>
        <v>0</v>
      </c>
      <c r="P12" s="146"/>
      <c r="Q12" s="146">
        <f t="shared" si="4"/>
        <v>0</v>
      </c>
      <c r="R12" s="342">
        <f>SUM(R8+R11)</f>
        <v>53000000</v>
      </c>
      <c r="S12" s="148"/>
      <c r="T12" s="148"/>
      <c r="U12" s="143"/>
    </row>
    <row r="13" spans="1:21" s="144" customFormat="1">
      <c r="A13" s="287" t="s">
        <v>901</v>
      </c>
      <c r="B13" s="146">
        <f>SUM(C13+D13)</f>
        <v>0</v>
      </c>
      <c r="C13" s="147"/>
      <c r="D13" s="147"/>
      <c r="E13" s="147">
        <f t="shared" ref="E13:E37" si="5">IFERROR(C13-SUM(F13:G13),0)</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1642</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6">SUM(C17+D17)</f>
        <v>8940000</v>
      </c>
      <c r="C17" s="147">
        <v>8940000</v>
      </c>
      <c r="D17" s="147"/>
      <c r="E17" s="147">
        <f t="shared" si="5"/>
        <v>8940000</v>
      </c>
      <c r="F17" s="147"/>
      <c r="G17" s="147"/>
      <c r="H17" s="147"/>
      <c r="I17" s="147"/>
      <c r="J17" s="147"/>
      <c r="K17" s="147"/>
      <c r="L17" s="147"/>
      <c r="M17" s="147"/>
      <c r="N17" s="147"/>
      <c r="O17" s="147"/>
      <c r="P17" s="147"/>
      <c r="Q17" s="147"/>
      <c r="R17" s="516">
        <f>SUM(E17:Q17)</f>
        <v>8940000</v>
      </c>
      <c r="S17" s="147">
        <f>+R17</f>
        <v>8940000</v>
      </c>
      <c r="T17" s="147"/>
      <c r="U17" s="143"/>
    </row>
    <row r="18" spans="1:21" s="144" customFormat="1">
      <c r="A18" s="145" t="s">
        <v>598</v>
      </c>
      <c r="B18" s="146">
        <f t="shared" si="6"/>
        <v>0</v>
      </c>
      <c r="C18" s="147"/>
      <c r="D18" s="147"/>
      <c r="E18" s="147">
        <f t="shared" si="5"/>
        <v>0</v>
      </c>
      <c r="F18" s="147"/>
      <c r="G18" s="147"/>
      <c r="H18" s="147"/>
      <c r="I18" s="147"/>
      <c r="J18" s="147"/>
      <c r="K18" s="147"/>
      <c r="L18" s="147"/>
      <c r="M18" s="147"/>
      <c r="N18" s="147"/>
      <c r="O18" s="147"/>
      <c r="P18" s="147"/>
      <c r="Q18" s="147"/>
      <c r="R18" s="516">
        <f>SUM(E18:Q18)</f>
        <v>0</v>
      </c>
      <c r="S18" s="147">
        <f t="shared" ref="S18:S25" si="7">+R18</f>
        <v>0</v>
      </c>
      <c r="T18" s="147"/>
      <c r="U18" s="143"/>
    </row>
    <row r="19" spans="1:21" s="144" customFormat="1">
      <c r="A19" s="145" t="s">
        <v>599</v>
      </c>
      <c r="B19" s="146">
        <f t="shared" si="6"/>
        <v>536400</v>
      </c>
      <c r="C19" s="147">
        <v>536400</v>
      </c>
      <c r="D19" s="147"/>
      <c r="E19" s="147">
        <f t="shared" si="5"/>
        <v>536400</v>
      </c>
      <c r="F19" s="147"/>
      <c r="G19" s="147"/>
      <c r="H19" s="147"/>
      <c r="I19" s="147"/>
      <c r="J19" s="147"/>
      <c r="K19" s="147"/>
      <c r="L19" s="147"/>
      <c r="M19" s="147"/>
      <c r="N19" s="147"/>
      <c r="O19" s="147"/>
      <c r="P19" s="147"/>
      <c r="Q19" s="147"/>
      <c r="R19" s="516">
        <f>SUM(E19:Q19)</f>
        <v>536400</v>
      </c>
      <c r="S19" s="147">
        <f t="shared" si="7"/>
        <v>536400</v>
      </c>
      <c r="T19" s="147"/>
      <c r="U19" s="143"/>
    </row>
    <row r="20" spans="1:21" s="144" customFormat="1">
      <c r="A20" s="145" t="s">
        <v>137</v>
      </c>
      <c r="B20" s="146">
        <f t="shared" si="6"/>
        <v>178800</v>
      </c>
      <c r="C20" s="147">
        <v>178800</v>
      </c>
      <c r="D20" s="147"/>
      <c r="E20" s="147">
        <f t="shared" si="5"/>
        <v>178800</v>
      </c>
      <c r="F20" s="147"/>
      <c r="G20" s="147"/>
      <c r="H20" s="147"/>
      <c r="I20" s="147"/>
      <c r="J20" s="147"/>
      <c r="K20" s="147"/>
      <c r="L20" s="147"/>
      <c r="M20" s="147"/>
      <c r="N20" s="147"/>
      <c r="O20" s="147"/>
      <c r="P20" s="147"/>
      <c r="Q20" s="147"/>
      <c r="R20" s="516">
        <f t="shared" ref="R20:R27" si="8">SUM(E20:Q20)</f>
        <v>178800</v>
      </c>
      <c r="S20" s="147">
        <f t="shared" si="7"/>
        <v>178800</v>
      </c>
      <c r="T20" s="147"/>
      <c r="U20" s="143"/>
    </row>
    <row r="21" spans="1:21" s="144" customFormat="1">
      <c r="A21" s="145" t="s">
        <v>138</v>
      </c>
      <c r="B21" s="146">
        <f t="shared" si="6"/>
        <v>536400</v>
      </c>
      <c r="C21" s="147">
        <v>536400</v>
      </c>
      <c r="D21" s="147"/>
      <c r="E21" s="147">
        <f t="shared" si="5"/>
        <v>536400</v>
      </c>
      <c r="F21" s="147"/>
      <c r="G21" s="147"/>
      <c r="H21" s="147"/>
      <c r="I21" s="147"/>
      <c r="J21" s="147"/>
      <c r="K21" s="147"/>
      <c r="L21" s="147"/>
      <c r="M21" s="147"/>
      <c r="N21" s="147"/>
      <c r="O21" s="147"/>
      <c r="P21" s="147"/>
      <c r="Q21" s="147"/>
      <c r="R21" s="516">
        <f t="shared" si="8"/>
        <v>536400</v>
      </c>
      <c r="S21" s="147">
        <f t="shared" si="7"/>
        <v>536400</v>
      </c>
      <c r="T21" s="147"/>
      <c r="U21" s="143"/>
    </row>
    <row r="22" spans="1:21" s="144" customFormat="1">
      <c r="A22" s="145" t="s">
        <v>139</v>
      </c>
      <c r="B22" s="146">
        <f t="shared" si="6"/>
        <v>0</v>
      </c>
      <c r="C22" s="147"/>
      <c r="D22" s="147"/>
      <c r="E22" s="147">
        <f t="shared" si="5"/>
        <v>0</v>
      </c>
      <c r="F22" s="147"/>
      <c r="G22" s="147"/>
      <c r="H22" s="147"/>
      <c r="I22" s="147"/>
      <c r="J22" s="147"/>
      <c r="K22" s="147"/>
      <c r="L22" s="147"/>
      <c r="M22" s="147"/>
      <c r="N22" s="147"/>
      <c r="O22" s="147"/>
      <c r="P22" s="147"/>
      <c r="Q22" s="147"/>
      <c r="R22" s="516">
        <f t="shared" si="8"/>
        <v>0</v>
      </c>
      <c r="S22" s="147">
        <f t="shared" si="7"/>
        <v>0</v>
      </c>
      <c r="T22" s="147"/>
      <c r="U22" s="143"/>
    </row>
    <row r="23" spans="1:21" s="144" customFormat="1">
      <c r="A23" s="145" t="s">
        <v>140</v>
      </c>
      <c r="B23" s="146">
        <f t="shared" si="6"/>
        <v>134100</v>
      </c>
      <c r="C23" s="147">
        <v>134100</v>
      </c>
      <c r="D23" s="147"/>
      <c r="E23" s="147">
        <f t="shared" si="5"/>
        <v>134100</v>
      </c>
      <c r="F23" s="147"/>
      <c r="G23" s="147"/>
      <c r="H23" s="147"/>
      <c r="I23" s="147"/>
      <c r="J23" s="147"/>
      <c r="K23" s="147"/>
      <c r="L23" s="147"/>
      <c r="M23" s="147"/>
      <c r="N23" s="147"/>
      <c r="O23" s="147"/>
      <c r="P23" s="147"/>
      <c r="Q23" s="147"/>
      <c r="R23" s="516">
        <f t="shared" si="8"/>
        <v>134100</v>
      </c>
      <c r="S23" s="147">
        <f t="shared" si="7"/>
        <v>134100</v>
      </c>
      <c r="T23" s="147"/>
      <c r="U23" s="143"/>
    </row>
    <row r="24" spans="1:21" s="144" customFormat="1">
      <c r="A24" s="508" t="s">
        <v>1639</v>
      </c>
      <c r="B24" s="146">
        <f t="shared" si="6"/>
        <v>288830</v>
      </c>
      <c r="C24" s="147">
        <v>288830</v>
      </c>
      <c r="D24" s="147"/>
      <c r="E24" s="147">
        <f t="shared" si="5"/>
        <v>288830</v>
      </c>
      <c r="F24" s="147"/>
      <c r="G24" s="147"/>
      <c r="H24" s="147"/>
      <c r="I24" s="147"/>
      <c r="J24" s="147"/>
      <c r="K24" s="147"/>
      <c r="L24" s="147"/>
      <c r="M24" s="147"/>
      <c r="N24" s="147"/>
      <c r="O24" s="147"/>
      <c r="P24" s="147"/>
      <c r="Q24" s="147"/>
      <c r="R24" s="516">
        <f t="shared" si="8"/>
        <v>288830</v>
      </c>
      <c r="S24" s="147">
        <f t="shared" si="7"/>
        <v>288830</v>
      </c>
      <c r="T24" s="147"/>
      <c r="U24" s="143"/>
    </row>
    <row r="25" spans="1:21" s="144" customFormat="1">
      <c r="A25" s="1149" t="s">
        <v>2715</v>
      </c>
      <c r="B25" s="146">
        <f t="shared" si="6"/>
        <v>134100</v>
      </c>
      <c r="C25" s="147">
        <v>134100</v>
      </c>
      <c r="D25" s="147"/>
      <c r="E25" s="147">
        <f t="shared" si="5"/>
        <v>134100</v>
      </c>
      <c r="F25" s="147"/>
      <c r="G25" s="147"/>
      <c r="H25" s="147"/>
      <c r="I25" s="147"/>
      <c r="J25" s="147"/>
      <c r="K25" s="147"/>
      <c r="L25" s="147"/>
      <c r="M25" s="147"/>
      <c r="N25" s="147"/>
      <c r="O25" s="147"/>
      <c r="P25" s="147"/>
      <c r="Q25" s="147"/>
      <c r="R25" s="516">
        <f t="shared" si="8"/>
        <v>134100</v>
      </c>
      <c r="S25" s="147">
        <f t="shared" si="7"/>
        <v>134100</v>
      </c>
      <c r="T25" s="147"/>
      <c r="U25" s="143"/>
    </row>
    <row r="26" spans="1:21" s="144" customFormat="1">
      <c r="A26" s="149" t="s">
        <v>133</v>
      </c>
      <c r="B26" s="146">
        <f t="shared" si="6"/>
        <v>10748630</v>
      </c>
      <c r="C26" s="146">
        <f>SUM(C17:C25)</f>
        <v>10748630</v>
      </c>
      <c r="D26" s="146">
        <f t="shared" ref="D26:Q26" si="9">SUM(D17:D25)</f>
        <v>0</v>
      </c>
      <c r="E26" s="146">
        <f t="shared" si="9"/>
        <v>10748630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10748630</v>
      </c>
      <c r="S26" s="150">
        <f>SUM(S17:S25)</f>
        <v>10748630</v>
      </c>
      <c r="T26" s="150">
        <f>SUM(T17:T25)</f>
        <v>0</v>
      </c>
      <c r="U26" s="143"/>
    </row>
    <row r="27" spans="1:21" s="144" customFormat="1">
      <c r="A27" s="149" t="s">
        <v>141</v>
      </c>
      <c r="B27" s="146">
        <f>SUM(C27:D27)</f>
        <v>588000</v>
      </c>
      <c r="C27" s="147">
        <v>588000</v>
      </c>
      <c r="D27" s="147"/>
      <c r="E27" s="147">
        <f t="shared" si="5"/>
        <v>588000</v>
      </c>
      <c r="F27" s="147"/>
      <c r="G27" s="147"/>
      <c r="H27" s="147"/>
      <c r="I27" s="147"/>
      <c r="J27" s="147"/>
      <c r="K27" s="147"/>
      <c r="L27" s="147"/>
      <c r="M27" s="147"/>
      <c r="N27" s="147"/>
      <c r="O27" s="147"/>
      <c r="P27" s="147"/>
      <c r="Q27" s="147"/>
      <c r="R27" s="516">
        <f t="shared" si="8"/>
        <v>588000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10">SUM(C29+D29)</f>
        <v>0</v>
      </c>
      <c r="C29" s="147"/>
      <c r="D29" s="147"/>
      <c r="E29" s="147">
        <f t="shared" si="5"/>
        <v>0</v>
      </c>
      <c r="F29" s="147"/>
      <c r="G29" s="147"/>
      <c r="H29" s="147"/>
      <c r="I29" s="147"/>
      <c r="J29" s="147"/>
      <c r="K29" s="147"/>
      <c r="L29" s="147"/>
      <c r="M29" s="147"/>
      <c r="N29" s="147"/>
      <c r="O29" s="147"/>
      <c r="P29" s="147"/>
      <c r="Q29" s="147"/>
      <c r="R29" s="516">
        <f t="shared" ref="R29:R37" si="11">SUM(E29:Q29)</f>
        <v>0</v>
      </c>
      <c r="S29" s="147"/>
      <c r="T29" s="147"/>
      <c r="U29" s="143"/>
    </row>
    <row r="30" spans="1:21" s="144" customFormat="1">
      <c r="A30" s="145" t="s">
        <v>598</v>
      </c>
      <c r="B30" s="146">
        <f t="shared" si="10"/>
        <v>0</v>
      </c>
      <c r="C30" s="147"/>
      <c r="D30" s="147"/>
      <c r="E30" s="147">
        <f t="shared" si="5"/>
        <v>0</v>
      </c>
      <c r="F30" s="147"/>
      <c r="G30" s="147"/>
      <c r="H30" s="147"/>
      <c r="I30" s="147"/>
      <c r="J30" s="147"/>
      <c r="K30" s="147"/>
      <c r="L30" s="147"/>
      <c r="M30" s="147"/>
      <c r="N30" s="147"/>
      <c r="O30" s="147"/>
      <c r="P30" s="147"/>
      <c r="Q30" s="147"/>
      <c r="R30" s="516">
        <f t="shared" si="11"/>
        <v>0</v>
      </c>
      <c r="S30" s="147"/>
      <c r="T30" s="147"/>
      <c r="U30" s="143"/>
    </row>
    <row r="31" spans="1:21" s="144" customFormat="1">
      <c r="A31" s="145" t="s">
        <v>599</v>
      </c>
      <c r="B31" s="146">
        <f t="shared" si="10"/>
        <v>0</v>
      </c>
      <c r="C31" s="147"/>
      <c r="D31" s="147"/>
      <c r="E31" s="147">
        <f t="shared" si="5"/>
        <v>0</v>
      </c>
      <c r="F31" s="147"/>
      <c r="G31" s="147"/>
      <c r="H31" s="147"/>
      <c r="I31" s="147"/>
      <c r="J31" s="147"/>
      <c r="K31" s="147"/>
      <c r="L31" s="147"/>
      <c r="M31" s="147"/>
      <c r="N31" s="147"/>
      <c r="O31" s="147"/>
      <c r="P31" s="147"/>
      <c r="Q31" s="147"/>
      <c r="R31" s="516">
        <f t="shared" si="11"/>
        <v>0</v>
      </c>
      <c r="S31" s="147"/>
      <c r="T31" s="147"/>
      <c r="U31" s="143"/>
    </row>
    <row r="32" spans="1:21" s="144" customFormat="1">
      <c r="A32" s="145" t="s">
        <v>137</v>
      </c>
      <c r="B32" s="146">
        <f t="shared" si="10"/>
        <v>0</v>
      </c>
      <c r="C32" s="147"/>
      <c r="D32" s="147"/>
      <c r="E32" s="147">
        <f t="shared" si="5"/>
        <v>0</v>
      </c>
      <c r="F32" s="147"/>
      <c r="G32" s="147"/>
      <c r="H32" s="147"/>
      <c r="I32" s="147"/>
      <c r="J32" s="147"/>
      <c r="K32" s="147"/>
      <c r="L32" s="147"/>
      <c r="M32" s="147"/>
      <c r="N32" s="147"/>
      <c r="O32" s="147"/>
      <c r="P32" s="147"/>
      <c r="Q32" s="147"/>
      <c r="R32" s="516">
        <f t="shared" si="11"/>
        <v>0</v>
      </c>
      <c r="S32" s="147"/>
      <c r="T32" s="147"/>
      <c r="U32" s="143"/>
    </row>
    <row r="33" spans="1:21" s="144" customFormat="1">
      <c r="A33" s="145" t="s">
        <v>138</v>
      </c>
      <c r="B33" s="146">
        <f t="shared" si="10"/>
        <v>0</v>
      </c>
      <c r="C33" s="147"/>
      <c r="D33" s="147"/>
      <c r="E33" s="147">
        <f t="shared" si="5"/>
        <v>0</v>
      </c>
      <c r="F33" s="147"/>
      <c r="G33" s="147"/>
      <c r="H33" s="147"/>
      <c r="I33" s="147"/>
      <c r="J33" s="147"/>
      <c r="K33" s="147"/>
      <c r="L33" s="147"/>
      <c r="M33" s="147"/>
      <c r="N33" s="147"/>
      <c r="O33" s="147"/>
      <c r="P33" s="147"/>
      <c r="Q33" s="147"/>
      <c r="R33" s="516">
        <f t="shared" si="11"/>
        <v>0</v>
      </c>
      <c r="S33" s="147"/>
      <c r="T33" s="147"/>
      <c r="U33" s="143"/>
    </row>
    <row r="34" spans="1:21" s="144" customFormat="1">
      <c r="A34" s="145" t="s">
        <v>139</v>
      </c>
      <c r="B34" s="146">
        <f t="shared" si="10"/>
        <v>0</v>
      </c>
      <c r="C34" s="147"/>
      <c r="D34" s="147"/>
      <c r="E34" s="147">
        <f t="shared" si="5"/>
        <v>0</v>
      </c>
      <c r="F34" s="147"/>
      <c r="G34" s="147"/>
      <c r="H34" s="147"/>
      <c r="I34" s="147"/>
      <c r="J34" s="147"/>
      <c r="K34" s="147"/>
      <c r="L34" s="147"/>
      <c r="M34" s="147"/>
      <c r="N34" s="147"/>
      <c r="O34" s="147"/>
      <c r="P34" s="147"/>
      <c r="Q34" s="147"/>
      <c r="R34" s="516">
        <f t="shared" si="11"/>
        <v>0</v>
      </c>
      <c r="S34" s="147"/>
      <c r="T34" s="147"/>
      <c r="U34" s="143"/>
    </row>
    <row r="35" spans="1:21" s="144" customFormat="1">
      <c r="A35" s="145" t="s">
        <v>140</v>
      </c>
      <c r="B35" s="146">
        <f t="shared" si="10"/>
        <v>0</v>
      </c>
      <c r="C35" s="147"/>
      <c r="D35" s="147"/>
      <c r="E35" s="147">
        <f t="shared" si="5"/>
        <v>0</v>
      </c>
      <c r="F35" s="147"/>
      <c r="G35" s="147"/>
      <c r="H35" s="147"/>
      <c r="I35" s="147"/>
      <c r="J35" s="147"/>
      <c r="K35" s="147"/>
      <c r="L35" s="147"/>
      <c r="M35" s="147"/>
      <c r="N35" s="147"/>
      <c r="O35" s="147"/>
      <c r="P35" s="147"/>
      <c r="Q35" s="147"/>
      <c r="R35" s="516">
        <f t="shared" si="11"/>
        <v>0</v>
      </c>
      <c r="S35" s="147"/>
      <c r="T35" s="147"/>
      <c r="U35" s="143"/>
    </row>
    <row r="36" spans="1:21" s="144" customFormat="1">
      <c r="A36" s="283" t="s">
        <v>1639</v>
      </c>
      <c r="B36" s="146">
        <f t="shared" si="10"/>
        <v>0</v>
      </c>
      <c r="C36" s="147"/>
      <c r="D36" s="147"/>
      <c r="E36" s="147">
        <f t="shared" si="5"/>
        <v>0</v>
      </c>
      <c r="F36" s="147"/>
      <c r="G36" s="147"/>
      <c r="H36" s="147"/>
      <c r="I36" s="147"/>
      <c r="J36" s="147"/>
      <c r="K36" s="147"/>
      <c r="L36" s="147"/>
      <c r="M36" s="147"/>
      <c r="N36" s="147"/>
      <c r="O36" s="147"/>
      <c r="P36" s="147"/>
      <c r="Q36" s="147"/>
      <c r="R36" s="516">
        <f t="shared" si="11"/>
        <v>0</v>
      </c>
      <c r="S36" s="147"/>
      <c r="T36" s="147"/>
      <c r="U36" s="143"/>
    </row>
    <row r="37" spans="1:21" s="144" customFormat="1">
      <c r="A37" s="1149" t="s">
        <v>34</v>
      </c>
      <c r="B37" s="146">
        <f t="shared" si="10"/>
        <v>0</v>
      </c>
      <c r="C37" s="147"/>
      <c r="D37" s="147"/>
      <c r="E37" s="147">
        <f t="shared" si="5"/>
        <v>0</v>
      </c>
      <c r="F37" s="147"/>
      <c r="G37" s="147"/>
      <c r="H37" s="147"/>
      <c r="I37" s="147"/>
      <c r="J37" s="147"/>
      <c r="K37" s="147"/>
      <c r="L37" s="147"/>
      <c r="M37" s="147"/>
      <c r="N37" s="147"/>
      <c r="O37" s="147"/>
      <c r="P37" s="147"/>
      <c r="Q37" s="147"/>
      <c r="R37" s="516">
        <f t="shared" si="11"/>
        <v>0</v>
      </c>
      <c r="S37" s="147"/>
      <c r="T37" s="147"/>
      <c r="U37" s="143"/>
    </row>
    <row r="38" spans="1:21" s="144" customFormat="1">
      <c r="A38" s="149" t="s">
        <v>143</v>
      </c>
      <c r="B38" s="146">
        <f t="shared" si="10"/>
        <v>0</v>
      </c>
      <c r="C38" s="146">
        <f>SUM(C29:C37)</f>
        <v>0</v>
      </c>
      <c r="D38" s="146">
        <f t="shared" ref="D38:Q38" si="12">SUM(D29:D37)</f>
        <v>0</v>
      </c>
      <c r="E38" s="146">
        <f t="shared" si="12"/>
        <v>0</v>
      </c>
      <c r="F38" s="146">
        <f t="shared" si="12"/>
        <v>0</v>
      </c>
      <c r="G38" s="146">
        <f t="shared" si="12"/>
        <v>0</v>
      </c>
      <c r="H38" s="146">
        <f t="shared" si="12"/>
        <v>0</v>
      </c>
      <c r="I38" s="146">
        <f t="shared" si="12"/>
        <v>0</v>
      </c>
      <c r="J38" s="146">
        <f t="shared" si="12"/>
        <v>0</v>
      </c>
      <c r="K38" s="146">
        <f t="shared" si="12"/>
        <v>0</v>
      </c>
      <c r="L38" s="146">
        <f t="shared" si="12"/>
        <v>0</v>
      </c>
      <c r="M38" s="146">
        <f t="shared" si="12"/>
        <v>0</v>
      </c>
      <c r="N38" s="146">
        <f t="shared" si="12"/>
        <v>0</v>
      </c>
      <c r="O38" s="146">
        <f t="shared" si="12"/>
        <v>0</v>
      </c>
      <c r="P38" s="146">
        <f t="shared" si="12"/>
        <v>0</v>
      </c>
      <c r="Q38" s="146">
        <f t="shared" si="12"/>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v>
      </c>
      <c r="C40" s="147">
        <v>102000</v>
      </c>
      <c r="D40" s="147"/>
      <c r="E40" s="147">
        <f t="shared" ref="E40:E41" si="13">IFERROR(C40-SUM(F40:G40),0)</f>
        <v>102000</v>
      </c>
      <c r="F40" s="147"/>
      <c r="G40" s="147"/>
      <c r="H40" s="147"/>
      <c r="I40" s="147"/>
      <c r="J40" s="147"/>
      <c r="K40" s="147"/>
      <c r="L40" s="147"/>
      <c r="M40" s="147"/>
      <c r="N40" s="147"/>
      <c r="O40" s="147"/>
      <c r="P40" s="147"/>
      <c r="Q40" s="147"/>
      <c r="R40" s="516">
        <f>SUM(E40:Q40)</f>
        <v>102000</v>
      </c>
      <c r="S40" s="147">
        <f>+R40</f>
        <v>102000</v>
      </c>
      <c r="T40" s="147"/>
      <c r="U40" s="143"/>
    </row>
    <row r="41" spans="1:21" s="144" customFormat="1">
      <c r="A41" s="145" t="s">
        <v>146</v>
      </c>
      <c r="B41" s="146">
        <f>SUM(C41+D41)</f>
        <v>0</v>
      </c>
      <c r="C41" s="147"/>
      <c r="D41" s="147"/>
      <c r="E41" s="147">
        <f t="shared" si="13"/>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102000</v>
      </c>
      <c r="C42" s="146">
        <f>SUM(C39:C41)</f>
        <v>102000</v>
      </c>
      <c r="D42" s="146">
        <f>SUM(D39:D41)</f>
        <v>0</v>
      </c>
      <c r="E42" s="146">
        <f t="shared" ref="E42:T42" si="14">SUM(E40:E41)</f>
        <v>102000</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42">
        <f>SUM(R40:R41)</f>
        <v>102000</v>
      </c>
      <c r="S42" s="150">
        <f t="shared" si="14"/>
        <v>102000</v>
      </c>
      <c r="T42" s="150">
        <f t="shared" si="14"/>
        <v>0</v>
      </c>
      <c r="U42" s="143"/>
    </row>
    <row r="43" spans="1:21" s="144" customFormat="1">
      <c r="A43" s="149" t="s">
        <v>148</v>
      </c>
      <c r="B43" s="146">
        <f>SUM(C43:D43)</f>
        <v>8000</v>
      </c>
      <c r="C43" s="147">
        <v>8000</v>
      </c>
      <c r="D43" s="147"/>
      <c r="E43" s="147">
        <f t="shared" ref="E43" si="15">IFERROR(C43-SUM(F43:G43),0)</f>
        <v>8000</v>
      </c>
      <c r="F43" s="147"/>
      <c r="G43" s="147"/>
      <c r="H43" s="147"/>
      <c r="I43" s="147"/>
      <c r="J43" s="147"/>
      <c r="K43" s="147"/>
      <c r="L43" s="147"/>
      <c r="M43" s="147"/>
      <c r="N43" s="147"/>
      <c r="O43" s="147"/>
      <c r="P43" s="147"/>
      <c r="Q43" s="147"/>
      <c r="R43" s="516">
        <f>SUM(E43:Q43)</f>
        <v>8000</v>
      </c>
      <c r="S43" s="147">
        <f>+R43</f>
        <v>8000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100000</v>
      </c>
      <c r="C45" s="147">
        <v>100000</v>
      </c>
      <c r="D45" s="147"/>
      <c r="E45" s="147">
        <f t="shared" ref="E45:E53" si="17">IFERROR(C45-SUM(F45:G45),0)</f>
        <v>100000</v>
      </c>
      <c r="F45" s="147"/>
      <c r="G45" s="147"/>
      <c r="H45" s="147"/>
      <c r="I45" s="147"/>
      <c r="J45" s="147"/>
      <c r="K45" s="147"/>
      <c r="L45" s="147"/>
      <c r="M45" s="147"/>
      <c r="N45" s="147"/>
      <c r="O45" s="147"/>
      <c r="P45" s="147"/>
      <c r="Q45" s="147"/>
      <c r="R45" s="516">
        <f t="shared" ref="R45:R53" si="18">SUM(E45:Q45)</f>
        <v>100000</v>
      </c>
      <c r="S45" s="147">
        <v>100000</v>
      </c>
      <c r="T45" s="147"/>
      <c r="U45" s="143"/>
    </row>
    <row r="46" spans="1:21" s="144" customFormat="1">
      <c r="A46" s="145" t="s">
        <v>151</v>
      </c>
      <c r="B46" s="146">
        <f t="shared" si="16"/>
        <v>40000</v>
      </c>
      <c r="C46" s="147">
        <v>40000</v>
      </c>
      <c r="D46" s="147"/>
      <c r="E46" s="147">
        <f t="shared" si="17"/>
        <v>40000</v>
      </c>
      <c r="F46" s="147"/>
      <c r="G46" s="147"/>
      <c r="H46" s="147"/>
      <c r="I46" s="147"/>
      <c r="J46" s="147"/>
      <c r="K46" s="147"/>
      <c r="L46" s="147"/>
      <c r="M46" s="147"/>
      <c r="N46" s="147"/>
      <c r="O46" s="147"/>
      <c r="P46" s="147"/>
      <c r="Q46" s="147"/>
      <c r="R46" s="516">
        <f t="shared" si="18"/>
        <v>40000</v>
      </c>
      <c r="S46" s="147"/>
      <c r="T46" s="147"/>
      <c r="U46" s="143"/>
    </row>
    <row r="47" spans="1:21" s="144" customFormat="1">
      <c r="A47" s="186" t="s">
        <v>152</v>
      </c>
      <c r="B47" s="146">
        <f t="shared" si="16"/>
        <v>35000</v>
      </c>
      <c r="C47" s="147">
        <v>35000</v>
      </c>
      <c r="D47" s="147"/>
      <c r="E47" s="147">
        <f t="shared" si="17"/>
        <v>35000</v>
      </c>
      <c r="F47" s="147"/>
      <c r="G47" s="147"/>
      <c r="H47" s="147"/>
      <c r="I47" s="147"/>
      <c r="J47" s="147"/>
      <c r="K47" s="147"/>
      <c r="L47" s="147"/>
      <c r="M47" s="147"/>
      <c r="N47" s="147"/>
      <c r="O47" s="147"/>
      <c r="P47" s="147"/>
      <c r="Q47" s="147"/>
      <c r="R47" s="516">
        <f t="shared" si="18"/>
        <v>35000</v>
      </c>
      <c r="S47" s="147"/>
      <c r="T47" s="147"/>
      <c r="U47" s="143"/>
    </row>
    <row r="48" spans="1:21" s="144" customFormat="1">
      <c r="A48" s="145" t="s">
        <v>153</v>
      </c>
      <c r="B48" s="146">
        <f t="shared" si="16"/>
        <v>0</v>
      </c>
      <c r="C48" s="147">
        <v>0</v>
      </c>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223800</v>
      </c>
      <c r="C49" s="147">
        <v>223800</v>
      </c>
      <c r="D49" s="147"/>
      <c r="E49" s="147">
        <f t="shared" si="17"/>
        <v>223800</v>
      </c>
      <c r="F49" s="147"/>
      <c r="G49" s="147"/>
      <c r="H49" s="147"/>
      <c r="I49" s="147"/>
      <c r="J49" s="147"/>
      <c r="K49" s="147"/>
      <c r="L49" s="147"/>
      <c r="M49" s="147"/>
      <c r="N49" s="147"/>
      <c r="O49" s="147"/>
      <c r="P49" s="147"/>
      <c r="Q49" s="147"/>
      <c r="R49" s="516">
        <f t="shared" si="18"/>
        <v>223800</v>
      </c>
      <c r="S49" s="147"/>
      <c r="T49" s="147"/>
      <c r="U49" s="143"/>
    </row>
    <row r="50" spans="1:21" s="144" customFormat="1">
      <c r="A50" s="145" t="s">
        <v>156</v>
      </c>
      <c r="B50" s="146">
        <f t="shared" si="16"/>
        <v>75000</v>
      </c>
      <c r="C50" s="147">
        <v>75000</v>
      </c>
      <c r="D50" s="147"/>
      <c r="E50" s="147">
        <f t="shared" si="17"/>
        <v>75000</v>
      </c>
      <c r="F50" s="147"/>
      <c r="G50" s="147"/>
      <c r="H50" s="147"/>
      <c r="I50" s="147"/>
      <c r="J50" s="147"/>
      <c r="K50" s="147"/>
      <c r="L50" s="147"/>
      <c r="M50" s="147"/>
      <c r="N50" s="147"/>
      <c r="O50" s="147"/>
      <c r="P50" s="147"/>
      <c r="Q50" s="147"/>
      <c r="R50" s="516">
        <f t="shared" si="18"/>
        <v>75000</v>
      </c>
      <c r="S50" s="147"/>
      <c r="T50" s="147"/>
      <c r="U50" s="143"/>
    </row>
    <row r="51" spans="1:21" s="144" customFormat="1">
      <c r="A51" s="283" t="s">
        <v>154</v>
      </c>
      <c r="B51" s="146">
        <f t="shared" si="16"/>
        <v>0</v>
      </c>
      <c r="C51" s="147"/>
      <c r="D51" s="147"/>
      <c r="E51" s="147">
        <f t="shared" si="17"/>
        <v>0</v>
      </c>
      <c r="F51" s="147"/>
      <c r="G51" s="147"/>
      <c r="H51" s="147"/>
      <c r="I51" s="147"/>
      <c r="J51" s="147"/>
      <c r="K51" s="147"/>
      <c r="L51" s="147"/>
      <c r="M51" s="147"/>
      <c r="N51" s="147"/>
      <c r="O51" s="147"/>
      <c r="P51" s="147"/>
      <c r="Q51" s="147"/>
      <c r="R51" s="516">
        <f t="shared" si="18"/>
        <v>0</v>
      </c>
      <c r="S51" s="147"/>
      <c r="T51" s="147"/>
      <c r="U51" s="143"/>
    </row>
    <row r="52" spans="1:21" s="144" customFormat="1">
      <c r="A52" s="145" t="s">
        <v>155</v>
      </c>
      <c r="B52" s="146">
        <f t="shared" si="16"/>
        <v>0</v>
      </c>
      <c r="C52" s="147"/>
      <c r="D52" s="147"/>
      <c r="E52" s="147">
        <f t="shared" si="17"/>
        <v>0</v>
      </c>
      <c r="F52" s="147"/>
      <c r="G52" s="147"/>
      <c r="H52" s="147"/>
      <c r="I52" s="147"/>
      <c r="J52" s="147"/>
      <c r="K52" s="147"/>
      <c r="L52" s="147"/>
      <c r="M52" s="147"/>
      <c r="N52" s="147"/>
      <c r="O52" s="147"/>
      <c r="P52" s="147"/>
      <c r="Q52" s="147"/>
      <c r="R52" s="516">
        <f t="shared" si="18"/>
        <v>0</v>
      </c>
      <c r="S52" s="147"/>
      <c r="T52" s="147"/>
      <c r="U52" s="143"/>
    </row>
    <row r="53" spans="1:21" s="144" customFormat="1">
      <c r="A53" s="1149" t="s">
        <v>2716</v>
      </c>
      <c r="B53" s="146">
        <f t="shared" si="16"/>
        <v>42500</v>
      </c>
      <c r="C53" s="147">
        <v>42500</v>
      </c>
      <c r="D53" s="147"/>
      <c r="E53" s="147">
        <f t="shared" si="17"/>
        <v>42500</v>
      </c>
      <c r="F53" s="147"/>
      <c r="G53" s="147"/>
      <c r="H53" s="147"/>
      <c r="I53" s="147"/>
      <c r="J53" s="147"/>
      <c r="K53" s="147"/>
      <c r="L53" s="147"/>
      <c r="M53" s="147"/>
      <c r="N53" s="147"/>
      <c r="O53" s="147"/>
      <c r="P53" s="147"/>
      <c r="Q53" s="147"/>
      <c r="R53" s="516">
        <f t="shared" si="18"/>
        <v>42500</v>
      </c>
      <c r="S53" s="147"/>
      <c r="T53" s="147"/>
      <c r="U53" s="143"/>
    </row>
    <row r="54" spans="1:21" s="153" customFormat="1">
      <c r="A54" s="149" t="s">
        <v>157</v>
      </c>
      <c r="B54" s="150">
        <f>SUM(C54:D54)</f>
        <v>516300</v>
      </c>
      <c r="C54" s="150">
        <f t="shared" ref="C54:T54" si="19">SUM(C45:C53)</f>
        <v>516300</v>
      </c>
      <c r="D54" s="150">
        <f t="shared" si="19"/>
        <v>0</v>
      </c>
      <c r="E54" s="150">
        <f t="shared" si="19"/>
        <v>516300</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516300</v>
      </c>
      <c r="S54" s="150">
        <f t="shared" si="19"/>
        <v>100000</v>
      </c>
      <c r="T54" s="150">
        <f t="shared" si="19"/>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300000</v>
      </c>
      <c r="C56" s="147">
        <v>300000</v>
      </c>
      <c r="D56" s="147"/>
      <c r="E56" s="147">
        <f t="shared" ref="E56:E61" si="21">IFERROR(C56-SUM(F56:G56),0)</f>
        <v>300000</v>
      </c>
      <c r="F56" s="147"/>
      <c r="G56" s="147"/>
      <c r="H56" s="147"/>
      <c r="I56" s="147"/>
      <c r="J56" s="147"/>
      <c r="K56" s="147"/>
      <c r="L56" s="147"/>
      <c r="M56" s="147"/>
      <c r="N56" s="147"/>
      <c r="O56" s="147"/>
      <c r="P56" s="147"/>
      <c r="Q56" s="147"/>
      <c r="R56" s="516">
        <f t="shared" ref="R56:R61" si="22">SUM(E56:Q56)</f>
        <v>300000</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0</v>
      </c>
      <c r="C58" s="147"/>
      <c r="D58" s="147"/>
      <c r="E58" s="147">
        <f t="shared" si="21"/>
        <v>0</v>
      </c>
      <c r="F58" s="147"/>
      <c r="G58" s="147"/>
      <c r="H58" s="147"/>
      <c r="I58" s="147"/>
      <c r="J58" s="147"/>
      <c r="K58" s="147"/>
      <c r="L58" s="147"/>
      <c r="M58" s="147"/>
      <c r="N58" s="147"/>
      <c r="O58" s="147"/>
      <c r="P58" s="147"/>
      <c r="Q58" s="147"/>
      <c r="R58" s="516">
        <f t="shared" si="22"/>
        <v>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34</v>
      </c>
      <c r="B61" s="146">
        <f t="shared" si="20"/>
        <v>0</v>
      </c>
      <c r="C61" s="147"/>
      <c r="D61" s="147"/>
      <c r="E61" s="147">
        <f t="shared" si="21"/>
        <v>0</v>
      </c>
      <c r="F61" s="147"/>
      <c r="G61" s="147"/>
      <c r="H61" s="147"/>
      <c r="I61" s="147"/>
      <c r="J61" s="147"/>
      <c r="K61" s="147"/>
      <c r="L61" s="147"/>
      <c r="M61" s="147"/>
      <c r="N61" s="147"/>
      <c r="O61" s="147"/>
      <c r="P61" s="147"/>
      <c r="Q61" s="147"/>
      <c r="R61" s="516">
        <f t="shared" si="22"/>
        <v>0</v>
      </c>
      <c r="S61" s="148"/>
      <c r="T61" s="148"/>
      <c r="U61" s="143"/>
    </row>
    <row r="62" spans="1:21" s="144" customFormat="1" ht="13.7" customHeight="1">
      <c r="A62" s="149" t="s">
        <v>301</v>
      </c>
      <c r="B62" s="146">
        <f>SUM(C62:D62)</f>
        <v>300000</v>
      </c>
      <c r="C62" s="146">
        <f t="shared" ref="C62:R62" si="23">SUM(C56:C61)</f>
        <v>300000</v>
      </c>
      <c r="D62" s="146">
        <f t="shared" si="23"/>
        <v>0</v>
      </c>
      <c r="E62" s="146">
        <f t="shared" si="23"/>
        <v>300000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300000</v>
      </c>
      <c r="S62" s="148"/>
      <c r="T62" s="148"/>
      <c r="U62" s="143"/>
    </row>
    <row r="63" spans="1:21" s="144" customFormat="1">
      <c r="A63" s="154" t="s">
        <v>302</v>
      </c>
      <c r="B63" s="146">
        <f t="shared" ref="B63:R63" si="24">SUM(B8+B11+B13+B14+B15+B26+B27+B38+B42+B43+B54+B62)</f>
        <v>65262930</v>
      </c>
      <c r="C63" s="146">
        <f t="shared" si="24"/>
        <v>65262930</v>
      </c>
      <c r="D63" s="146">
        <f t="shared" si="24"/>
        <v>0</v>
      </c>
      <c r="E63" s="146">
        <f t="shared" si="24"/>
        <v>22439720</v>
      </c>
      <c r="F63" s="146">
        <f t="shared" si="24"/>
        <v>16230000</v>
      </c>
      <c r="G63" s="146">
        <f t="shared" si="24"/>
        <v>5500000</v>
      </c>
      <c r="H63" s="146">
        <f t="shared" si="24"/>
        <v>14450000</v>
      </c>
      <c r="I63" s="146">
        <f t="shared" si="24"/>
        <v>6643210</v>
      </c>
      <c r="J63" s="146">
        <f t="shared" si="24"/>
        <v>0</v>
      </c>
      <c r="K63" s="146">
        <f t="shared" si="24"/>
        <v>0</v>
      </c>
      <c r="L63" s="146">
        <f t="shared" si="24"/>
        <v>0</v>
      </c>
      <c r="M63" s="146">
        <f t="shared" si="24"/>
        <v>0</v>
      </c>
      <c r="N63" s="146">
        <f t="shared" si="24"/>
        <v>0</v>
      </c>
      <c r="O63" s="146">
        <f t="shared" si="24"/>
        <v>0</v>
      </c>
      <c r="P63" s="146">
        <f t="shared" si="24"/>
        <v>0</v>
      </c>
      <c r="Q63" s="146">
        <f t="shared" si="24"/>
        <v>0</v>
      </c>
      <c r="R63" s="342">
        <f t="shared" si="24"/>
        <v>65262930</v>
      </c>
      <c r="S63" s="146">
        <f>SUM(S10+S13+S14+S15+S26+S27+S38+S42+S43+S54)</f>
        <v>10958630</v>
      </c>
      <c r="T63" s="146">
        <f>SUM(T11+T13+T14+T15+T26+T27+T38+T42+T43+T54)</f>
        <v>53000000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v>70000</v>
      </c>
      <c r="D65" s="147"/>
      <c r="E65" s="147">
        <f t="shared" ref="E65:E69" si="25">IFERROR(C65-SUM(F65:G65),0)</f>
        <v>70000</v>
      </c>
      <c r="F65" s="147"/>
      <c r="G65" s="147"/>
      <c r="H65" s="147"/>
      <c r="I65" s="147"/>
      <c r="J65" s="147"/>
      <c r="K65" s="147"/>
      <c r="L65" s="147"/>
      <c r="M65" s="147"/>
      <c r="N65" s="147"/>
      <c r="O65" s="147"/>
      <c r="P65" s="147"/>
      <c r="Q65" s="147"/>
      <c r="R65" s="516">
        <f>SUM(E65:Q65)</f>
        <v>70000</v>
      </c>
      <c r="S65" s="147"/>
      <c r="T65" s="147"/>
      <c r="U65" s="143"/>
    </row>
    <row r="66" spans="1:21" s="144" customFormat="1" ht="24" customHeight="1">
      <c r="A66" s="283" t="s">
        <v>1640</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100000</v>
      </c>
      <c r="C67" s="147">
        <v>100000</v>
      </c>
      <c r="D67" s="147"/>
      <c r="E67" s="147">
        <f t="shared" si="25"/>
        <v>100000</v>
      </c>
      <c r="F67" s="147"/>
      <c r="G67" s="147"/>
      <c r="H67" s="147"/>
      <c r="I67" s="147"/>
      <c r="J67" s="147"/>
      <c r="K67" s="147"/>
      <c r="L67" s="147"/>
      <c r="M67" s="147"/>
      <c r="N67" s="147"/>
      <c r="O67" s="147"/>
      <c r="P67" s="147"/>
      <c r="Q67" s="147"/>
      <c r="R67" s="516">
        <f>SUM(E67:Q67)</f>
        <v>100000</v>
      </c>
      <c r="S67" s="147">
        <v>100000</v>
      </c>
      <c r="T67" s="147"/>
      <c r="U67" s="143"/>
    </row>
    <row r="68" spans="1:21" s="144" customFormat="1" ht="12" customHeight="1">
      <c r="A68" s="283" t="s">
        <v>1647</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2717</v>
      </c>
      <c r="B69" s="146">
        <f>SUM(C69+D69)</f>
        <v>300000</v>
      </c>
      <c r="C69" s="147">
        <v>300000</v>
      </c>
      <c r="D69" s="147"/>
      <c r="E69" s="147">
        <f t="shared" si="25"/>
        <v>300000</v>
      </c>
      <c r="F69" s="147"/>
      <c r="G69" s="147"/>
      <c r="H69" s="147"/>
      <c r="I69" s="147"/>
      <c r="J69" s="147"/>
      <c r="K69" s="147"/>
      <c r="L69" s="147"/>
      <c r="M69" s="147"/>
      <c r="N69" s="147"/>
      <c r="O69" s="147"/>
      <c r="P69" s="147"/>
      <c r="Q69" s="147"/>
      <c r="R69" s="516">
        <f>SUM(E69:Q69)</f>
        <v>300000</v>
      </c>
      <c r="S69" s="147">
        <v>150000</v>
      </c>
      <c r="T69" s="147"/>
      <c r="U69" s="143"/>
    </row>
    <row r="70" spans="1:21" s="144" customFormat="1">
      <c r="A70" s="149" t="s">
        <v>1644</v>
      </c>
      <c r="B70" s="146">
        <f>SUM(C70:D70)</f>
        <v>470000</v>
      </c>
      <c r="C70" s="146">
        <f>SUM(C65:C69)</f>
        <v>470000</v>
      </c>
      <c r="D70" s="146">
        <f>SUM(D65:D69)</f>
        <v>0</v>
      </c>
      <c r="E70" s="146">
        <f t="shared" ref="E70:T70" si="26">SUM(E65:E69)</f>
        <v>470000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470000</v>
      </c>
      <c r="S70" s="150">
        <f t="shared" si="26"/>
        <v>250000</v>
      </c>
      <c r="T70" s="150">
        <f t="shared" si="26"/>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f t="shared" ref="E72:E76" si="27">IFERROR(C72-SUM(F72:G72),0)</f>
        <v>0</v>
      </c>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300000</v>
      </c>
      <c r="C74" s="147">
        <v>300000</v>
      </c>
      <c r="D74" s="147"/>
      <c r="E74" s="147">
        <f t="shared" si="27"/>
        <v>300000</v>
      </c>
      <c r="F74" s="147"/>
      <c r="G74" s="147"/>
      <c r="H74" s="147"/>
      <c r="I74" s="147"/>
      <c r="J74" s="147"/>
      <c r="K74" s="147"/>
      <c r="L74" s="147"/>
      <c r="M74" s="147"/>
      <c r="N74" s="147"/>
      <c r="O74" s="147"/>
      <c r="P74" s="147"/>
      <c r="Q74" s="147"/>
      <c r="R74" s="516">
        <f>SUM(E74:Q74)</f>
        <v>300000</v>
      </c>
      <c r="S74" s="148"/>
      <c r="T74" s="148"/>
      <c r="U74" s="143"/>
    </row>
    <row r="75" spans="1:21" s="144" customFormat="1">
      <c r="A75" s="145" t="s">
        <v>604</v>
      </c>
      <c r="B75" s="146">
        <f>SUM(C75+D75)</f>
        <v>0</v>
      </c>
      <c r="C75" s="147"/>
      <c r="D75" s="147"/>
      <c r="E75" s="147">
        <f t="shared" si="27"/>
        <v>0</v>
      </c>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300000</v>
      </c>
      <c r="C77" s="146">
        <f>SUM(C72:C76)</f>
        <v>300000</v>
      </c>
      <c r="D77" s="146">
        <f>SUM(D72:D76)</f>
        <v>0</v>
      </c>
      <c r="E77" s="146">
        <f t="shared" ref="E77:Q77" si="28">SUM(E72:E76)</f>
        <v>300000</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300000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522990</v>
      </c>
      <c r="C79" s="147">
        <v>522990</v>
      </c>
      <c r="D79" s="147"/>
      <c r="E79" s="147">
        <f t="shared" ref="E79:E80" si="29">IFERROR(C79-SUM(F79:G79),0)</f>
        <v>522990</v>
      </c>
      <c r="F79" s="147"/>
      <c r="G79" s="147"/>
      <c r="H79" s="147"/>
      <c r="I79" s="147"/>
      <c r="J79" s="147"/>
      <c r="K79" s="147"/>
      <c r="L79" s="147"/>
      <c r="M79" s="147"/>
      <c r="N79" s="147"/>
      <c r="O79" s="147"/>
      <c r="P79" s="147"/>
      <c r="Q79" s="147"/>
      <c r="R79" s="516">
        <f>SUM(E79:Q79)</f>
        <v>522990</v>
      </c>
      <c r="S79" s="147">
        <f>+R79</f>
        <v>522990</v>
      </c>
      <c r="T79" s="147"/>
      <c r="U79" s="143"/>
    </row>
    <row r="80" spans="1:21" s="144" customFormat="1">
      <c r="A80" s="283" t="s">
        <v>58</v>
      </c>
      <c r="B80" s="146">
        <f>SUM(C80:D80)</f>
        <v>25000</v>
      </c>
      <c r="C80" s="147">
        <v>25000</v>
      </c>
      <c r="D80" s="147"/>
      <c r="E80" s="147">
        <f t="shared" si="29"/>
        <v>25000</v>
      </c>
      <c r="F80" s="147"/>
      <c r="G80" s="147"/>
      <c r="H80" s="147"/>
      <c r="I80" s="147"/>
      <c r="J80" s="147"/>
      <c r="K80" s="147"/>
      <c r="L80" s="147"/>
      <c r="M80" s="147"/>
      <c r="N80" s="147"/>
      <c r="O80" s="147"/>
      <c r="P80" s="147"/>
      <c r="Q80" s="147"/>
      <c r="R80" s="516">
        <f>SUM(E80:Q80)</f>
        <v>25000</v>
      </c>
      <c r="S80" s="147">
        <f>+R80</f>
        <v>25000</v>
      </c>
      <c r="T80" s="147"/>
      <c r="U80" s="143"/>
    </row>
    <row r="81" spans="1:21" s="144" customFormat="1">
      <c r="A81" s="149" t="s">
        <v>1208</v>
      </c>
      <c r="B81" s="146">
        <f>SUM(C81:D81)</f>
        <v>547990</v>
      </c>
      <c r="C81" s="509">
        <f>SUM(C79:C80)</f>
        <v>547990</v>
      </c>
      <c r="D81" s="509">
        <f t="shared" ref="D81:T81" si="30">SUM(D79:D80)</f>
        <v>0</v>
      </c>
      <c r="E81" s="509">
        <f t="shared" si="30"/>
        <v>547990</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547990</v>
      </c>
      <c r="S81" s="509">
        <f t="shared" si="30"/>
        <v>547990</v>
      </c>
      <c r="T81" s="509">
        <f t="shared" si="30"/>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31">SUM(C83+D83)</f>
        <v>137243</v>
      </c>
      <c r="C83" s="147">
        <v>137243</v>
      </c>
      <c r="D83" s="147"/>
      <c r="E83" s="147">
        <f t="shared" ref="E83:E95" si="32">IFERROR(C83-SUM(F83:G83),0)</f>
        <v>137243</v>
      </c>
      <c r="F83" s="147"/>
      <c r="G83" s="147"/>
      <c r="H83" s="147"/>
      <c r="I83" s="147"/>
      <c r="J83" s="147"/>
      <c r="K83" s="147"/>
      <c r="L83" s="147"/>
      <c r="M83" s="147"/>
      <c r="N83" s="147"/>
      <c r="O83" s="147"/>
      <c r="P83" s="147"/>
      <c r="Q83" s="147"/>
      <c r="R83" s="516">
        <f t="shared" ref="R83:R95" si="33">SUM(E83:Q83)</f>
        <v>137243</v>
      </c>
      <c r="S83" s="148"/>
      <c r="T83" s="148"/>
      <c r="U83" s="143"/>
    </row>
    <row r="84" spans="1:21" s="144" customFormat="1">
      <c r="A84" s="145" t="s">
        <v>766</v>
      </c>
      <c r="B84" s="146">
        <f t="shared" si="31"/>
        <v>62000</v>
      </c>
      <c r="C84" s="147">
        <v>62000</v>
      </c>
      <c r="D84" s="147"/>
      <c r="E84" s="147">
        <f t="shared" si="32"/>
        <v>62000</v>
      </c>
      <c r="F84" s="147"/>
      <c r="G84" s="147"/>
      <c r="H84" s="147"/>
      <c r="I84" s="147"/>
      <c r="J84" s="147"/>
      <c r="K84" s="147"/>
      <c r="L84" s="147"/>
      <c r="M84" s="147"/>
      <c r="N84" s="147"/>
      <c r="O84" s="147"/>
      <c r="P84" s="147"/>
      <c r="Q84" s="147"/>
      <c r="R84" s="516">
        <f t="shared" si="33"/>
        <v>62000</v>
      </c>
      <c r="S84" s="147">
        <f>+R84</f>
        <v>62000</v>
      </c>
      <c r="T84" s="147"/>
      <c r="U84" s="143"/>
    </row>
    <row r="85" spans="1:21" s="144" customFormat="1">
      <c r="A85" s="145" t="s">
        <v>767</v>
      </c>
      <c r="B85" s="146">
        <f t="shared" si="31"/>
        <v>0</v>
      </c>
      <c r="C85" s="147"/>
      <c r="D85" s="147"/>
      <c r="E85" s="147">
        <f t="shared" si="32"/>
        <v>0</v>
      </c>
      <c r="F85" s="147"/>
      <c r="G85" s="147"/>
      <c r="H85" s="147"/>
      <c r="I85" s="147"/>
      <c r="J85" s="147"/>
      <c r="K85" s="147"/>
      <c r="L85" s="147"/>
      <c r="M85" s="147"/>
      <c r="N85" s="147"/>
      <c r="O85" s="147"/>
      <c r="P85" s="147"/>
      <c r="Q85" s="147"/>
      <c r="R85" s="516">
        <f t="shared" si="33"/>
        <v>0</v>
      </c>
      <c r="S85" s="147"/>
      <c r="T85" s="147"/>
      <c r="U85" s="143"/>
    </row>
    <row r="86" spans="1:21" s="144" customFormat="1">
      <c r="A86" s="145" t="s">
        <v>768</v>
      </c>
      <c r="B86" s="146">
        <f t="shared" si="31"/>
        <v>24455</v>
      </c>
      <c r="C86" s="147">
        <v>24455</v>
      </c>
      <c r="D86" s="147"/>
      <c r="E86" s="147">
        <f t="shared" si="32"/>
        <v>24455</v>
      </c>
      <c r="F86" s="147"/>
      <c r="G86" s="147"/>
      <c r="H86" s="147"/>
      <c r="I86" s="147"/>
      <c r="J86" s="147"/>
      <c r="K86" s="147"/>
      <c r="L86" s="147"/>
      <c r="M86" s="147"/>
      <c r="N86" s="147"/>
      <c r="O86" s="147"/>
      <c r="P86" s="147"/>
      <c r="Q86" s="147"/>
      <c r="R86" s="516">
        <f t="shared" si="33"/>
        <v>24455</v>
      </c>
      <c r="S86" s="147">
        <f>+R86</f>
        <v>24455</v>
      </c>
      <c r="T86" s="147"/>
      <c r="U86" s="143"/>
    </row>
    <row r="87" spans="1:21" s="144" customFormat="1">
      <c r="A87" s="145" t="s">
        <v>769</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770</v>
      </c>
      <c r="B88" s="146">
        <f t="shared" si="31"/>
        <v>0</v>
      </c>
      <c r="C88" s="147"/>
      <c r="D88" s="147"/>
      <c r="E88" s="147">
        <f t="shared" si="32"/>
        <v>0</v>
      </c>
      <c r="F88" s="147"/>
      <c r="G88" s="147"/>
      <c r="H88" s="147"/>
      <c r="I88" s="147"/>
      <c r="J88" s="147"/>
      <c r="K88" s="147"/>
      <c r="L88" s="147"/>
      <c r="M88" s="147"/>
      <c r="N88" s="147"/>
      <c r="O88" s="147"/>
      <c r="P88" s="147"/>
      <c r="Q88" s="147"/>
      <c r="R88" s="516">
        <f t="shared" si="33"/>
        <v>0</v>
      </c>
      <c r="S88" s="148"/>
      <c r="T88" s="148"/>
      <c r="U88" s="143"/>
    </row>
    <row r="89" spans="1:21" s="144" customFormat="1">
      <c r="A89" s="145" t="s">
        <v>771</v>
      </c>
      <c r="B89" s="146">
        <f t="shared" si="31"/>
        <v>75000</v>
      </c>
      <c r="C89" s="147">
        <v>75000</v>
      </c>
      <c r="D89" s="147"/>
      <c r="E89" s="147">
        <f t="shared" si="32"/>
        <v>75000</v>
      </c>
      <c r="F89" s="147"/>
      <c r="G89" s="147"/>
      <c r="H89" s="147"/>
      <c r="I89" s="147"/>
      <c r="J89" s="147"/>
      <c r="K89" s="147"/>
      <c r="L89" s="147"/>
      <c r="M89" s="147"/>
      <c r="N89" s="147"/>
      <c r="O89" s="147"/>
      <c r="P89" s="147"/>
      <c r="Q89" s="147"/>
      <c r="R89" s="516">
        <f t="shared" si="33"/>
        <v>75000</v>
      </c>
      <c r="S89" s="147"/>
      <c r="T89" s="147"/>
      <c r="U89" s="143"/>
    </row>
    <row r="90" spans="1:21" s="144" customFormat="1">
      <c r="A90" s="145" t="s">
        <v>772</v>
      </c>
      <c r="B90" s="146">
        <f t="shared" si="31"/>
        <v>13250</v>
      </c>
      <c r="C90" s="147">
        <v>13250</v>
      </c>
      <c r="D90" s="147"/>
      <c r="E90" s="147">
        <f t="shared" si="32"/>
        <v>13250</v>
      </c>
      <c r="F90" s="147"/>
      <c r="G90" s="147"/>
      <c r="H90" s="147"/>
      <c r="I90" s="147"/>
      <c r="J90" s="147"/>
      <c r="K90" s="147"/>
      <c r="L90" s="147"/>
      <c r="M90" s="147"/>
      <c r="N90" s="147"/>
      <c r="O90" s="147"/>
      <c r="P90" s="147"/>
      <c r="Q90" s="147"/>
      <c r="R90" s="516">
        <f t="shared" si="33"/>
        <v>13250</v>
      </c>
      <c r="S90" s="147">
        <f>+R90</f>
        <v>13250</v>
      </c>
      <c r="T90" s="147"/>
      <c r="U90" s="143"/>
    </row>
    <row r="91" spans="1:21" s="144" customFormat="1">
      <c r="A91" s="145" t="s">
        <v>371</v>
      </c>
      <c r="B91" s="146">
        <f t="shared" si="31"/>
        <v>15000</v>
      </c>
      <c r="C91" s="147">
        <v>15000</v>
      </c>
      <c r="D91" s="147"/>
      <c r="E91" s="147">
        <f t="shared" si="32"/>
        <v>15000</v>
      </c>
      <c r="F91" s="147"/>
      <c r="G91" s="147"/>
      <c r="H91" s="147"/>
      <c r="I91" s="147"/>
      <c r="J91" s="147"/>
      <c r="K91" s="147"/>
      <c r="L91" s="147"/>
      <c r="M91" s="147"/>
      <c r="N91" s="147"/>
      <c r="O91" s="147"/>
      <c r="P91" s="147"/>
      <c r="Q91" s="147"/>
      <c r="R91" s="516">
        <f t="shared" si="33"/>
        <v>15000</v>
      </c>
      <c r="S91" s="147">
        <f>+R91</f>
        <v>15000</v>
      </c>
      <c r="T91" s="147"/>
      <c r="U91" s="143"/>
    </row>
    <row r="92" spans="1:21" s="144" customFormat="1">
      <c r="A92" s="283" t="s">
        <v>1210</v>
      </c>
      <c r="B92" s="146">
        <f t="shared" si="31"/>
        <v>6750</v>
      </c>
      <c r="C92" s="147">
        <v>6750</v>
      </c>
      <c r="D92" s="147"/>
      <c r="E92" s="147">
        <f t="shared" si="32"/>
        <v>6750</v>
      </c>
      <c r="F92" s="147"/>
      <c r="G92" s="147"/>
      <c r="H92" s="147"/>
      <c r="I92" s="147"/>
      <c r="J92" s="147"/>
      <c r="K92" s="147"/>
      <c r="L92" s="147"/>
      <c r="M92" s="147"/>
      <c r="N92" s="147"/>
      <c r="O92" s="147"/>
      <c r="P92" s="147"/>
      <c r="Q92" s="147"/>
      <c r="R92" s="516">
        <f t="shared" si="33"/>
        <v>6750</v>
      </c>
      <c r="S92" s="147">
        <f>+R92</f>
        <v>6750</v>
      </c>
      <c r="T92" s="147"/>
      <c r="U92" s="143"/>
    </row>
    <row r="93" spans="1:21" s="144" customFormat="1">
      <c r="A93" s="1149" t="s">
        <v>34</v>
      </c>
      <c r="B93" s="146">
        <f t="shared" si="31"/>
        <v>0</v>
      </c>
      <c r="C93" s="147"/>
      <c r="D93" s="147"/>
      <c r="E93" s="147">
        <f t="shared" si="32"/>
        <v>0</v>
      </c>
      <c r="F93" s="147"/>
      <c r="G93" s="147"/>
      <c r="H93" s="147"/>
      <c r="I93" s="147"/>
      <c r="J93" s="147"/>
      <c r="K93" s="147"/>
      <c r="L93" s="147"/>
      <c r="M93" s="147"/>
      <c r="N93" s="147"/>
      <c r="O93" s="147"/>
      <c r="P93" s="147"/>
      <c r="Q93" s="147"/>
      <c r="R93" s="516">
        <f t="shared" si="33"/>
        <v>0</v>
      </c>
      <c r="S93" s="147"/>
      <c r="T93" s="147"/>
      <c r="U93" s="143"/>
    </row>
    <row r="94" spans="1:21" s="144" customFormat="1">
      <c r="A94" s="1149" t="s">
        <v>34</v>
      </c>
      <c r="B94" s="146">
        <f t="shared" si="31"/>
        <v>0</v>
      </c>
      <c r="C94" s="147"/>
      <c r="D94" s="147"/>
      <c r="E94" s="147">
        <f t="shared" si="32"/>
        <v>0</v>
      </c>
      <c r="F94" s="147"/>
      <c r="G94" s="147"/>
      <c r="H94" s="147"/>
      <c r="I94" s="147"/>
      <c r="J94" s="147"/>
      <c r="K94" s="147"/>
      <c r="L94" s="147"/>
      <c r="M94" s="147"/>
      <c r="N94" s="147"/>
      <c r="O94" s="147"/>
      <c r="P94" s="147"/>
      <c r="Q94" s="147"/>
      <c r="R94" s="516">
        <f t="shared" si="33"/>
        <v>0</v>
      </c>
      <c r="S94" s="147"/>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773</v>
      </c>
      <c r="B96" s="146">
        <f>SUM(C96:D96)</f>
        <v>333698</v>
      </c>
      <c r="C96" s="146">
        <f t="shared" ref="C96:R96" si="34">SUM(C83:C95)</f>
        <v>333698</v>
      </c>
      <c r="D96" s="146">
        <f t="shared" si="34"/>
        <v>0</v>
      </c>
      <c r="E96" s="146">
        <f t="shared" si="34"/>
        <v>333698</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333698</v>
      </c>
      <c r="S96" s="150">
        <f>SUM(S84:S87,S89:S95)</f>
        <v>121455</v>
      </c>
      <c r="T96" s="146">
        <f>SUM(T84:T87,T89:T95)</f>
        <v>0</v>
      </c>
      <c r="U96" s="143"/>
    </row>
    <row r="97" spans="1:21" s="144" customFormat="1">
      <c r="A97" s="149" t="s">
        <v>774</v>
      </c>
      <c r="B97" s="146">
        <f>SUM(C97:D97)</f>
        <v>66914618</v>
      </c>
      <c r="C97" s="146">
        <f t="shared" ref="C97:R97" si="35">SUM(C63+C70+C77+C81+C96)</f>
        <v>66914618</v>
      </c>
      <c r="D97" s="146">
        <f t="shared" si="35"/>
        <v>0</v>
      </c>
      <c r="E97" s="146">
        <f t="shared" si="35"/>
        <v>24091408</v>
      </c>
      <c r="F97" s="146">
        <f t="shared" si="35"/>
        <v>16230000</v>
      </c>
      <c r="G97" s="146">
        <f t="shared" si="35"/>
        <v>5500000</v>
      </c>
      <c r="H97" s="146">
        <f t="shared" si="35"/>
        <v>14450000</v>
      </c>
      <c r="I97" s="146">
        <f t="shared" si="35"/>
        <v>6643210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66914618</v>
      </c>
      <c r="S97" s="146">
        <f>SUM(S63+S70+S81+S96)</f>
        <v>11878075</v>
      </c>
      <c r="T97" s="146">
        <f>SUM(T63+T70+T81+T96)</f>
        <v>53000000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0</v>
      </c>
      <c r="C99" s="979"/>
      <c r="D99" s="979"/>
      <c r="E99" s="979">
        <f t="shared" ref="E99:E103" si="36">IFERROR(C99-SUM(F99:G99),0)</f>
        <v>0</v>
      </c>
      <c r="F99" s="147"/>
      <c r="G99" s="147"/>
      <c r="H99" s="147"/>
      <c r="I99" s="147"/>
      <c r="J99" s="147"/>
      <c r="K99" s="147"/>
      <c r="L99" s="147"/>
      <c r="M99" s="147"/>
      <c r="N99" s="147"/>
      <c r="O99" s="147"/>
      <c r="P99" s="147"/>
      <c r="Q99" s="147"/>
      <c r="R99" s="516">
        <f>SUM(E99:Q99)</f>
        <v>0</v>
      </c>
      <c r="S99" s="147"/>
      <c r="T99" s="147"/>
      <c r="U99" s="143"/>
    </row>
    <row r="100" spans="1:21" s="144" customFormat="1">
      <c r="A100" s="283" t="s">
        <v>1645</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0</v>
      </c>
      <c r="C104" s="146">
        <f>SUM(C99:C103)</f>
        <v>0</v>
      </c>
      <c r="D104" s="146">
        <f t="shared" ref="D104:T104" si="37">SUM(D99:D103)</f>
        <v>0</v>
      </c>
      <c r="E104" s="146">
        <f t="shared" si="37"/>
        <v>0</v>
      </c>
      <c r="F104" s="146">
        <f t="shared" si="37"/>
        <v>0</v>
      </c>
      <c r="G104" s="146">
        <f t="shared" si="37"/>
        <v>0</v>
      </c>
      <c r="H104" s="146">
        <f t="shared" si="37"/>
        <v>0</v>
      </c>
      <c r="I104" s="146">
        <f t="shared" si="37"/>
        <v>0</v>
      </c>
      <c r="J104" s="146">
        <f t="shared" si="37"/>
        <v>0</v>
      </c>
      <c r="K104" s="146">
        <f t="shared" si="37"/>
        <v>0</v>
      </c>
      <c r="L104" s="146">
        <f t="shared" si="37"/>
        <v>0</v>
      </c>
      <c r="M104" s="146">
        <f t="shared" si="37"/>
        <v>0</v>
      </c>
      <c r="N104" s="146">
        <f t="shared" si="37"/>
        <v>0</v>
      </c>
      <c r="O104" s="146">
        <f t="shared" si="37"/>
        <v>0</v>
      </c>
      <c r="P104" s="146">
        <f t="shared" si="37"/>
        <v>0</v>
      </c>
      <c r="Q104" s="146">
        <f t="shared" si="37"/>
        <v>0</v>
      </c>
      <c r="R104" s="342">
        <f t="shared" si="37"/>
        <v>0</v>
      </c>
      <c r="S104" s="150">
        <f t="shared" si="37"/>
        <v>0</v>
      </c>
      <c r="T104" s="150">
        <f t="shared" si="37"/>
        <v>0</v>
      </c>
      <c r="U104" s="143"/>
    </row>
    <row r="105" spans="1:21" s="144" customFormat="1">
      <c r="A105" s="149" t="s">
        <v>779</v>
      </c>
      <c r="B105" s="150">
        <f>SUM(C105:D105)</f>
        <v>66914618</v>
      </c>
      <c r="C105" s="150">
        <f t="shared" ref="C105:R105" si="38">SUM(C97+C104)</f>
        <v>66914618</v>
      </c>
      <c r="D105" s="150">
        <f t="shared" si="38"/>
        <v>0</v>
      </c>
      <c r="E105" s="150">
        <f t="shared" si="38"/>
        <v>24091408</v>
      </c>
      <c r="F105" s="150">
        <f t="shared" si="38"/>
        <v>16230000</v>
      </c>
      <c r="G105" s="150">
        <f t="shared" si="38"/>
        <v>5500000</v>
      </c>
      <c r="H105" s="150">
        <f t="shared" si="38"/>
        <v>14450000</v>
      </c>
      <c r="I105" s="150">
        <f t="shared" si="38"/>
        <v>6643210</v>
      </c>
      <c r="J105" s="150">
        <f t="shared" si="38"/>
        <v>0</v>
      </c>
      <c r="K105" s="150">
        <f t="shared" si="38"/>
        <v>0</v>
      </c>
      <c r="L105" s="150">
        <f t="shared" si="38"/>
        <v>0</v>
      </c>
      <c r="M105" s="150">
        <f t="shared" si="38"/>
        <v>0</v>
      </c>
      <c r="N105" s="150">
        <f t="shared" si="38"/>
        <v>0</v>
      </c>
      <c r="O105" s="150">
        <f t="shared" si="38"/>
        <v>0</v>
      </c>
      <c r="P105" s="150">
        <f t="shared" si="38"/>
        <v>0</v>
      </c>
      <c r="Q105" s="150">
        <f t="shared" si="38"/>
        <v>0</v>
      </c>
      <c r="R105" s="342">
        <f t="shared" si="38"/>
        <v>66914618</v>
      </c>
      <c r="S105" s="150">
        <f>S97+S104</f>
        <v>11878075</v>
      </c>
      <c r="T105" s="150">
        <f>T97+T104</f>
        <v>53000000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11878075</v>
      </c>
      <c r="T107" s="150">
        <f>T105+T106</f>
        <v>53000000</v>
      </c>
    </row>
    <row r="108" spans="1:21" s="189" customFormat="1">
      <c r="A108" s="162" t="s">
        <v>878</v>
      </c>
      <c r="B108" s="157"/>
      <c r="C108" s="157"/>
      <c r="D108" s="157"/>
      <c r="E108" s="301">
        <f>Application!AO640</f>
        <v>24091408</v>
      </c>
      <c r="F108" s="301">
        <f>Application!AO627</f>
        <v>16230000</v>
      </c>
      <c r="G108" s="301">
        <f>Application!AO628</f>
        <v>5500000</v>
      </c>
      <c r="H108" s="301">
        <f>Application!AO629</f>
        <v>14450000</v>
      </c>
      <c r="I108" s="301">
        <f>Application!AO630</f>
        <v>6643210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4" t="s">
        <v>989</v>
      </c>
      <c r="E122" s="1864"/>
      <c r="F122" s="1864"/>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6" t="s">
        <v>1223</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991</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992</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300</v>
      </c>
      <c r="B129" s="333"/>
      <c r="C129" s="117"/>
      <c r="D129" s="1863" t="s">
        <v>996</v>
      </c>
      <c r="E129" s="1863"/>
      <c r="F129" s="1863"/>
      <c r="G129" s="1863"/>
      <c r="H129" s="1863"/>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999</v>
      </c>
      <c r="E132" s="1867"/>
      <c r="F132" s="1867"/>
      <c r="G132" s="1867"/>
      <c r="H132" s="1867"/>
      <c r="I132" s="117"/>
      <c r="J132" s="1867" t="s">
        <v>1000</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1003</v>
      </c>
      <c r="B139" s="1865"/>
      <c r="C139" s="1865"/>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1226</v>
      </c>
      <c r="B1" s="1872"/>
      <c r="C1" s="1872"/>
      <c r="D1" s="1872"/>
      <c r="E1" s="1872"/>
      <c r="F1" s="1872"/>
      <c r="G1" s="1872"/>
      <c r="H1" s="1872"/>
      <c r="I1" s="1872"/>
      <c r="J1" s="1873"/>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0</v>
      </c>
      <c r="C8" s="361">
        <f>SUM(C4:C7)</f>
        <v>0</v>
      </c>
      <c r="D8" s="361">
        <f>SUM(D4:D7)</f>
        <v>0</v>
      </c>
      <c r="E8" s="363"/>
      <c r="F8" s="363"/>
      <c r="G8" s="363"/>
      <c r="H8" s="363"/>
      <c r="I8" s="363"/>
      <c r="J8" s="363"/>
      <c r="K8" s="359"/>
    </row>
    <row r="9" spans="1:11" s="360" customFormat="1">
      <c r="A9" s="364" t="s">
        <v>593</v>
      </c>
      <c r="B9" s="361">
        <f>'Sources and Uses Budget'!C9</f>
        <v>53000000</v>
      </c>
      <c r="C9" s="362"/>
      <c r="D9" s="362"/>
      <c r="E9" s="363"/>
      <c r="F9" s="363"/>
      <c r="G9" s="363"/>
      <c r="H9" s="361">
        <f>'Sources and Uses Budget'!T9</f>
        <v>53000000</v>
      </c>
      <c r="I9" s="362"/>
      <c r="J9" s="362"/>
      <c r="K9" s="359"/>
    </row>
    <row r="10" spans="1:11" s="360" customFormat="1">
      <c r="A10" s="364" t="s">
        <v>594</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595</v>
      </c>
      <c r="B11" s="361">
        <f>'Sources and Uses Budget'!C11</f>
        <v>53000000</v>
      </c>
      <c r="C11" s="361">
        <f>SUM(C9:C10)</f>
        <v>0</v>
      </c>
      <c r="D11" s="361">
        <f>SUM(D9:D10)</f>
        <v>0</v>
      </c>
      <c r="E11" s="363"/>
      <c r="F11" s="363"/>
      <c r="G11" s="363"/>
      <c r="H11" s="361">
        <f>'Sources and Uses Budget'!T11</f>
        <v>53000000</v>
      </c>
      <c r="I11" s="361">
        <f>SUM(I9:I10)</f>
        <v>0</v>
      </c>
      <c r="J11" s="361">
        <f>SUM(J9:J10)</f>
        <v>0</v>
      </c>
      <c r="K11" s="359"/>
    </row>
    <row r="12" spans="1:11" s="360" customFormat="1">
      <c r="A12" s="365" t="s">
        <v>84</v>
      </c>
      <c r="B12" s="361">
        <f>'Sources and Uses Budget'!C12</f>
        <v>53000000</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8940000</v>
      </c>
      <c r="C17" s="362"/>
      <c r="D17" s="362"/>
      <c r="E17" s="361">
        <f>'Sources and Uses Budget'!S17</f>
        <v>8940000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536400</v>
      </c>
      <c r="C19" s="362"/>
      <c r="D19" s="362"/>
      <c r="E19" s="361">
        <f>'Sources and Uses Budget'!S19</f>
        <v>536400</v>
      </c>
      <c r="F19" s="362"/>
      <c r="G19" s="362"/>
      <c r="H19" s="361">
        <f>'Sources and Uses Budget'!T19</f>
        <v>0</v>
      </c>
      <c r="I19" s="362"/>
      <c r="J19" s="362"/>
      <c r="K19" s="359"/>
    </row>
    <row r="20" spans="1:11" s="360" customFormat="1">
      <c r="A20" s="364" t="s">
        <v>137</v>
      </c>
      <c r="B20" s="361">
        <f>'Sources and Uses Budget'!C20</f>
        <v>178800</v>
      </c>
      <c r="C20" s="362"/>
      <c r="D20" s="362"/>
      <c r="E20" s="361">
        <f>'Sources and Uses Budget'!S20</f>
        <v>178800</v>
      </c>
      <c r="F20" s="362"/>
      <c r="G20" s="362"/>
      <c r="H20" s="361">
        <f>'Sources and Uses Budget'!T20</f>
        <v>0</v>
      </c>
      <c r="I20" s="362"/>
      <c r="J20" s="362"/>
      <c r="K20" s="359"/>
    </row>
    <row r="21" spans="1:11" s="360" customFormat="1">
      <c r="A21" s="364" t="s">
        <v>138</v>
      </c>
      <c r="B21" s="361">
        <f>'Sources and Uses Budget'!C21</f>
        <v>536400</v>
      </c>
      <c r="C21" s="362"/>
      <c r="D21" s="362"/>
      <c r="E21" s="361">
        <f>'Sources and Uses Budget'!S21</f>
        <v>536400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134100</v>
      </c>
      <c r="C23" s="362"/>
      <c r="D23" s="362"/>
      <c r="E23" s="361">
        <f>'Sources and Uses Budget'!S23</f>
        <v>134100</v>
      </c>
      <c r="F23" s="362"/>
      <c r="G23" s="362"/>
      <c r="H23" s="361">
        <f>'Sources and Uses Budget'!T23</f>
        <v>0</v>
      </c>
      <c r="I23" s="362"/>
      <c r="J23" s="362"/>
      <c r="K23" s="359"/>
    </row>
    <row r="24" spans="1:11" s="360" customFormat="1">
      <c r="A24" s="508" t="s">
        <v>1639</v>
      </c>
      <c r="B24" s="361">
        <f>'Sources and Uses Budget'!C24</f>
        <v>288830</v>
      </c>
      <c r="C24" s="362"/>
      <c r="D24" s="362"/>
      <c r="E24" s="361">
        <f>'Sources and Uses Budget'!S24</f>
        <v>288830</v>
      </c>
      <c r="F24" s="362"/>
      <c r="G24" s="362"/>
      <c r="H24" s="361">
        <f>'Sources and Uses Budget'!T24</f>
        <v>0</v>
      </c>
      <c r="I24" s="362"/>
      <c r="J24" s="362"/>
      <c r="K24" s="359"/>
    </row>
    <row r="25" spans="1:11" s="360" customFormat="1">
      <c r="A25" s="364" t="str">
        <f>'Sources and Uses Budget'!$A25</f>
        <v>Performance Bond</v>
      </c>
      <c r="B25" s="361">
        <f>'Sources and Uses Budget'!C25</f>
        <v>134100</v>
      </c>
      <c r="C25" s="362"/>
      <c r="D25" s="362"/>
      <c r="E25" s="361">
        <f>'Sources and Uses Budget'!S25</f>
        <v>134100</v>
      </c>
      <c r="F25" s="362"/>
      <c r="G25" s="362"/>
      <c r="H25" s="361">
        <f>'Sources and Uses Budget'!T25</f>
        <v>0</v>
      </c>
      <c r="I25" s="362"/>
      <c r="J25" s="362"/>
      <c r="K25" s="359"/>
    </row>
    <row r="26" spans="1:11" s="360" customFormat="1">
      <c r="A26" s="365" t="s">
        <v>133</v>
      </c>
      <c r="B26" s="361">
        <f>'Sources and Uses Budget'!C26</f>
        <v>10748630</v>
      </c>
      <c r="C26" s="361">
        <f>SUM(C17:C25)</f>
        <v>0</v>
      </c>
      <c r="D26" s="361">
        <f>SUM(D17:D25)</f>
        <v>0</v>
      </c>
      <c r="E26" s="361">
        <f>'Sources and Uses Budget'!S26</f>
        <v>10748630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588000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598</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599</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102000</v>
      </c>
      <c r="C40" s="362"/>
      <c r="D40" s="362"/>
      <c r="E40" s="361">
        <f>'Sources and Uses Budget'!S40</f>
        <v>102000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102000</v>
      </c>
      <c r="C42" s="361">
        <f>SUM(C39:C41)</f>
        <v>0</v>
      </c>
      <c r="D42" s="361">
        <f>SUM(D39:D41)</f>
        <v>0</v>
      </c>
      <c r="E42" s="361">
        <f>'Sources and Uses Budget'!S42</f>
        <v>102000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8000</v>
      </c>
      <c r="C43" s="362"/>
      <c r="D43" s="362"/>
      <c r="E43" s="361">
        <f>'Sources and Uses Budget'!S43</f>
        <v>8000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100000</v>
      </c>
      <c r="C45" s="362"/>
      <c r="D45" s="362"/>
      <c r="E45" s="361">
        <f>'Sources and Uses Budget'!S45</f>
        <v>100000</v>
      </c>
      <c r="F45" s="362"/>
      <c r="G45" s="362"/>
      <c r="H45" s="361">
        <f>'Sources and Uses Budget'!T45</f>
        <v>0</v>
      </c>
      <c r="I45" s="362"/>
      <c r="J45" s="362"/>
      <c r="K45" s="359"/>
    </row>
    <row r="46" spans="1:11" s="360" customFormat="1">
      <c r="A46" s="364" t="s">
        <v>151</v>
      </c>
      <c r="B46" s="361">
        <f>'Sources and Uses Budget'!C46</f>
        <v>40000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35000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223800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Lender Inspection</v>
      </c>
      <c r="B53" s="361">
        <f>'Sources and Uses Budget'!C53</f>
        <v>42500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516300</v>
      </c>
      <c r="C54" s="367">
        <f>SUM(C45:C53)</f>
        <v>0</v>
      </c>
      <c r="D54" s="367">
        <f>SUM(D45:D53)</f>
        <v>0</v>
      </c>
      <c r="E54" s="361">
        <f>'Sources and Uses Budget'!S54</f>
        <v>100000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300000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300000</v>
      </c>
      <c r="C62" s="361">
        <f>SUM(C56:C61)</f>
        <v>0</v>
      </c>
      <c r="D62" s="361">
        <f>SUM(D56:D61)</f>
        <v>0</v>
      </c>
      <c r="E62" s="363"/>
      <c r="F62" s="363"/>
      <c r="G62" s="363"/>
      <c r="H62" s="363"/>
      <c r="I62" s="363"/>
      <c r="J62" s="363"/>
      <c r="K62" s="359"/>
    </row>
    <row r="63" spans="1:11" s="360" customFormat="1">
      <c r="A63" s="370" t="s">
        <v>302</v>
      </c>
      <c r="B63" s="361">
        <f>'Sources and Uses Budget'!C63</f>
        <v>65262930</v>
      </c>
      <c r="C63" s="361">
        <f>SUM(C8+C11+C13+C14+C15+C26+C27+C38+C42+C43+C54+C62)</f>
        <v>0</v>
      </c>
      <c r="D63" s="361">
        <f>SUM(D8+D11+D13+D14+D15+D26+D27+D38+D42+D43+D54+D62)</f>
        <v>0</v>
      </c>
      <c r="E63" s="361">
        <f>'Sources and Uses Budget'!S63</f>
        <v>10958630</v>
      </c>
      <c r="F63" s="361">
        <f>SUM(F10+F13+F14+F15+F26+F27+F38+F42+F43+F54)</f>
        <v>0</v>
      </c>
      <c r="G63" s="361">
        <f>SUM(G10+G13+G14+G15+G26+G27+G38+G42+G43+G54)</f>
        <v>0</v>
      </c>
      <c r="H63" s="361">
        <f>'Sources and Uses Budget'!T63</f>
        <v>53000000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70000</v>
      </c>
      <c r="C65" s="362"/>
      <c r="D65" s="362"/>
      <c r="E65" s="361">
        <f>'Sources and Uses Budget'!S65</f>
        <v>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100000</v>
      </c>
      <c r="C67" s="362"/>
      <c r="D67" s="362"/>
      <c r="E67" s="361">
        <f>'Sources and Uses Budget'!S67</f>
        <v>100000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Counsel: borrower</v>
      </c>
      <c r="B69" s="361">
        <f>'Sources and Uses Budget'!C69</f>
        <v>300000</v>
      </c>
      <c r="C69" s="362"/>
      <c r="D69" s="362"/>
      <c r="E69" s="361">
        <f>'Sources and Uses Budget'!S69</f>
        <v>150000</v>
      </c>
      <c r="F69" s="362"/>
      <c r="G69" s="362"/>
      <c r="H69" s="361">
        <f>'Sources and Uses Budget'!T69</f>
        <v>0</v>
      </c>
      <c r="I69" s="362"/>
      <c r="J69" s="362"/>
      <c r="K69" s="359"/>
    </row>
    <row r="70" spans="1:11" s="360" customFormat="1">
      <c r="A70" s="365" t="s">
        <v>600</v>
      </c>
      <c r="B70" s="361">
        <f>'Sources and Uses Budget'!C70</f>
        <v>470000</v>
      </c>
      <c r="C70" s="361">
        <f>SUM(C64:C69)</f>
        <v>0</v>
      </c>
      <c r="D70" s="361">
        <f>SUM(D64:D69)</f>
        <v>0</v>
      </c>
      <c r="E70" s="361">
        <f>'Sources and Uses Budget'!S70</f>
        <v>250000</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300000</v>
      </c>
      <c r="C74" s="362"/>
      <c r="D74" s="362"/>
      <c r="E74" s="363"/>
      <c r="F74" s="363"/>
      <c r="G74" s="363"/>
      <c r="H74" s="363"/>
      <c r="I74" s="363"/>
      <c r="J74" s="363"/>
      <c r="K74" s="359"/>
    </row>
    <row r="75" spans="1:11" s="360" customFormat="1">
      <c r="A75" s="364" t="s">
        <v>604</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300000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522990</v>
      </c>
      <c r="C79" s="362"/>
      <c r="D79" s="362"/>
      <c r="E79" s="361">
        <f>'Sources and Uses Budget'!S79</f>
        <v>522990</v>
      </c>
      <c r="F79" s="362"/>
      <c r="G79" s="362"/>
      <c r="H79" s="361">
        <f>'Sources and Uses Budget'!T79</f>
        <v>0</v>
      </c>
      <c r="I79" s="362"/>
      <c r="J79" s="362"/>
      <c r="K79" s="359"/>
    </row>
    <row r="80" spans="1:11" s="360" customFormat="1">
      <c r="A80" s="364" t="s">
        <v>58</v>
      </c>
      <c r="B80" s="361">
        <f>'Sources and Uses Budget'!C80</f>
        <v>25000</v>
      </c>
      <c r="C80" s="362"/>
      <c r="D80" s="362"/>
      <c r="E80" s="361">
        <f>'Sources and Uses Budget'!S80</f>
        <v>25000</v>
      </c>
      <c r="F80" s="362"/>
      <c r="G80" s="362"/>
      <c r="H80" s="361">
        <f>'Sources and Uses Budget'!T80</f>
        <v>0</v>
      </c>
      <c r="I80" s="362"/>
      <c r="J80" s="362"/>
      <c r="K80" s="359"/>
    </row>
    <row r="81" spans="1:11" s="360" customFormat="1">
      <c r="A81" s="365" t="s">
        <v>1208</v>
      </c>
      <c r="B81" s="361">
        <f>'Sources and Uses Budget'!C81</f>
        <v>547990</v>
      </c>
      <c r="C81" s="361">
        <f>SUM(C79:C80)</f>
        <v>0</v>
      </c>
      <c r="D81" s="361">
        <f>SUM(D79:D80)</f>
        <v>0</v>
      </c>
      <c r="E81" s="361">
        <f>'Sources and Uses Budget'!S81</f>
        <v>547990</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2093</v>
      </c>
      <c r="B83" s="361">
        <f>'Sources and Uses Budget'!C83</f>
        <v>137243</v>
      </c>
      <c r="C83" s="362"/>
      <c r="D83" s="362"/>
      <c r="E83" s="363"/>
      <c r="F83" s="363"/>
      <c r="G83" s="363"/>
      <c r="H83" s="363"/>
      <c r="I83" s="363"/>
      <c r="J83" s="363"/>
      <c r="K83" s="359"/>
    </row>
    <row r="84" spans="1:11" s="360" customFormat="1">
      <c r="A84" s="145" t="s">
        <v>766</v>
      </c>
      <c r="B84" s="361">
        <f>'Sources and Uses Budget'!C84</f>
        <v>62000</v>
      </c>
      <c r="C84" s="362"/>
      <c r="D84" s="362"/>
      <c r="E84" s="361">
        <f>'Sources and Uses Budget'!S84</f>
        <v>62000</v>
      </c>
      <c r="F84" s="362"/>
      <c r="G84" s="362"/>
      <c r="H84" s="361">
        <f>'Sources and Uses Budget'!T84</f>
        <v>0</v>
      </c>
      <c r="I84" s="362"/>
      <c r="J84" s="362"/>
      <c r="K84" s="359"/>
    </row>
    <row r="85" spans="1:11" s="360" customFormat="1">
      <c r="A85" s="145" t="s">
        <v>767</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768</v>
      </c>
      <c r="B86" s="361">
        <f>'Sources and Uses Budget'!C86</f>
        <v>24455</v>
      </c>
      <c r="C86" s="362"/>
      <c r="D86" s="362"/>
      <c r="E86" s="361">
        <f>'Sources and Uses Budget'!S86</f>
        <v>24455</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0</v>
      </c>
      <c r="C88" s="362"/>
      <c r="D88" s="362"/>
      <c r="E88" s="363"/>
      <c r="F88" s="363"/>
      <c r="G88" s="363"/>
      <c r="H88" s="363"/>
      <c r="I88" s="363"/>
      <c r="J88" s="363"/>
      <c r="K88" s="359"/>
    </row>
    <row r="89" spans="1:11" s="360" customFormat="1">
      <c r="A89" s="145" t="s">
        <v>771</v>
      </c>
      <c r="B89" s="361">
        <f>'Sources and Uses Budget'!C89</f>
        <v>75000</v>
      </c>
      <c r="C89" s="362"/>
      <c r="D89" s="362"/>
      <c r="E89" s="361">
        <f>'Sources and Uses Budget'!S89</f>
        <v>0</v>
      </c>
      <c r="F89" s="362"/>
      <c r="G89" s="362"/>
      <c r="H89" s="361">
        <f>'Sources and Uses Budget'!T89</f>
        <v>0</v>
      </c>
      <c r="I89" s="362"/>
      <c r="J89" s="362"/>
      <c r="K89" s="359"/>
    </row>
    <row r="90" spans="1:11" s="360" customFormat="1">
      <c r="A90" s="145" t="s">
        <v>772</v>
      </c>
      <c r="B90" s="361">
        <f>'Sources and Uses Budget'!C90</f>
        <v>13250</v>
      </c>
      <c r="C90" s="362"/>
      <c r="D90" s="362"/>
      <c r="E90" s="361">
        <f>'Sources and Uses Budget'!S90</f>
        <v>13250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1210</v>
      </c>
      <c r="B92" s="361">
        <f>'Sources and Uses Budget'!C92</f>
        <v>6750</v>
      </c>
      <c r="C92" s="362"/>
      <c r="D92" s="362"/>
      <c r="E92" s="361">
        <f>'Sources and Uses Budget'!S92</f>
        <v>6750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333698</v>
      </c>
      <c r="C96" s="361">
        <f>SUM(C83:C95)</f>
        <v>0</v>
      </c>
      <c r="D96" s="361">
        <f>SUM(D83:D95)</f>
        <v>0</v>
      </c>
      <c r="E96" s="361">
        <f>'Sources and Uses Budget'!S96</f>
        <v>121455</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66914618</v>
      </c>
      <c r="C97" s="361">
        <f>SUM(C63+C70+C77+C81+C96)</f>
        <v>0</v>
      </c>
      <c r="D97" s="361">
        <f>SUM(D63+D70+D77+D81+D96)</f>
        <v>0</v>
      </c>
      <c r="E97" s="361">
        <f>'Sources and Uses Budget'!S97</f>
        <v>11878075</v>
      </c>
      <c r="F97" s="367">
        <f>SUM(+F63+F70+F81+F96)</f>
        <v>0</v>
      </c>
      <c r="G97" s="367">
        <f>SUM(+G63+G70+G81+G96)</f>
        <v>0</v>
      </c>
      <c r="H97" s="361">
        <f>'Sources and Uses Budget'!T97</f>
        <v>53000000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0</v>
      </c>
      <c r="C99" s="362"/>
      <c r="D99" s="362"/>
      <c r="E99" s="361">
        <f>'Sources and Uses Budget'!S99</f>
        <v>0</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0</v>
      </c>
      <c r="C104" s="361">
        <f>SUM(C99:C103)</f>
        <v>0</v>
      </c>
      <c r="D104" s="361">
        <f>SUM(D99:D103)</f>
        <v>0</v>
      </c>
      <c r="E104" s="361">
        <f>'Sources and Uses Budget'!S104</f>
        <v>0</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66914618</v>
      </c>
      <c r="C105" s="367">
        <f>SUM(C97+C104)</f>
        <v>0</v>
      </c>
      <c r="D105" s="367">
        <f>SUM(D97+D104)</f>
        <v>0</v>
      </c>
      <c r="E105" s="361">
        <f>'Sources and Uses Budget'!S105</f>
        <v>11878075</v>
      </c>
      <c r="F105" s="367">
        <f>F97+F104</f>
        <v>0</v>
      </c>
      <c r="G105" s="367">
        <f>G97+G104</f>
        <v>0</v>
      </c>
      <c r="H105" s="361">
        <f>'Sources and Uses Budget'!T105</f>
        <v>53000000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11878075</v>
      </c>
      <c r="F107" s="367">
        <f>F105+F106</f>
        <v>0</v>
      </c>
      <c r="G107" s="367">
        <f>G105+G106</f>
        <v>0</v>
      </c>
      <c r="H107" s="361">
        <f>'Sources and Uses Budget'!T107</f>
        <v>53000000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9" t="s">
        <v>2455</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2454</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1" t="str">
        <f>IF(Application!H18="","",Application!H18)</f>
        <v>Green Manor</v>
      </c>
      <c r="M4" s="2312"/>
      <c r="N4" s="2312"/>
      <c r="O4" s="2312"/>
      <c r="P4" s="2312"/>
      <c r="Q4" s="2312"/>
      <c r="R4" s="2312"/>
      <c r="S4" s="2312"/>
      <c r="T4" s="2312"/>
      <c r="U4" s="2312"/>
      <c r="V4" s="2312"/>
      <c r="W4" s="2312"/>
      <c r="X4" s="2312"/>
      <c r="Y4" s="2312"/>
      <c r="Z4" s="2312"/>
      <c r="AA4" s="2312"/>
      <c r="AB4" s="2312"/>
      <c r="AC4" s="2313"/>
      <c r="AD4" s="1190"/>
      <c r="AE4" s="1190"/>
      <c r="AF4" s="2307" t="s">
        <v>2453</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2452</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1" t="str">
        <f>IF(Application!H16="","",Application!H16)</f>
        <v>Green Manor Housing Partners, LP</v>
      </c>
      <c r="M6" s="2312"/>
      <c r="N6" s="2312"/>
      <c r="O6" s="2312"/>
      <c r="P6" s="2312"/>
      <c r="Q6" s="2312"/>
      <c r="R6" s="2312"/>
      <c r="S6" s="2312"/>
      <c r="T6" s="2312"/>
      <c r="U6" s="2312"/>
      <c r="V6" s="2312"/>
      <c r="W6" s="2312"/>
      <c r="X6" s="2312"/>
      <c r="Y6" s="2312"/>
      <c r="Z6" s="2312"/>
      <c r="AA6" s="2312"/>
      <c r="AB6" s="2312"/>
      <c r="AC6" s="2313"/>
      <c r="AD6" s="1190"/>
      <c r="AE6" s="1190"/>
      <c r="AF6" s="2314" t="s">
        <v>2450</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2449</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2447</v>
      </c>
      <c r="AG8" s="2314"/>
      <c r="AH8" s="2314"/>
      <c r="AI8" s="2314"/>
      <c r="AJ8" s="2314"/>
      <c r="AK8" s="2314"/>
      <c r="AL8" s="2314"/>
      <c r="AM8" s="2314"/>
      <c r="AN8" s="2314"/>
      <c r="AO8" s="2314"/>
      <c r="AP8" s="2315" t="s">
        <v>2097</v>
      </c>
      <c r="AQ8" s="2315"/>
      <c r="AR8" s="2315"/>
      <c r="AS8" s="2315"/>
      <c r="AT8" s="2315"/>
      <c r="AU8" s="2315"/>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2446</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2310">
        <f>Application!AO627</f>
        <v>16230000</v>
      </c>
      <c r="O10" s="2310"/>
      <c r="P10" s="2310"/>
      <c r="Q10" s="2310"/>
      <c r="R10" s="2310"/>
      <c r="S10" s="2310"/>
      <c r="T10" s="2310"/>
      <c r="U10" s="1190"/>
      <c r="V10" s="1190"/>
      <c r="W10" s="1190"/>
      <c r="X10" s="1193"/>
      <c r="Y10" s="1193"/>
      <c r="Z10" s="1193"/>
      <c r="AA10" s="1193"/>
      <c r="AB10" s="1193"/>
      <c r="AC10" s="1193"/>
      <c r="AD10" s="1193"/>
      <c r="AE10" s="1193"/>
      <c r="AF10" s="2307" t="s">
        <v>2443</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2440</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2298" t="s">
        <v>2438</v>
      </c>
      <c r="C13" s="2299"/>
      <c r="D13" s="2299"/>
      <c r="E13" s="2299"/>
      <c r="F13" s="2299"/>
      <c r="G13" s="2299"/>
      <c r="H13" s="2299"/>
      <c r="I13" s="2299"/>
      <c r="J13" s="2299"/>
      <c r="K13" s="2299"/>
      <c r="L13" s="2299"/>
      <c r="M13" s="2299"/>
      <c r="N13" s="2299"/>
      <c r="O13" s="2299"/>
      <c r="P13" s="2300"/>
      <c r="Q13" s="2301" t="s">
        <v>668</v>
      </c>
      <c r="R13" s="2302"/>
      <c r="S13" s="2302"/>
      <c r="T13" s="2303"/>
      <c r="U13" s="1193"/>
      <c r="V13" s="1190"/>
      <c r="W13" s="1190"/>
      <c r="X13" s="1190"/>
      <c r="Y13" s="1190"/>
      <c r="Z13" s="1190"/>
      <c r="AA13" s="2288" t="s">
        <v>2437</v>
      </c>
      <c r="AB13" s="2288"/>
      <c r="AC13" s="2288"/>
      <c r="AD13" s="2288"/>
      <c r="AE13" s="2288"/>
      <c r="AF13" s="2288"/>
      <c r="AG13" s="2288"/>
      <c r="AH13" s="2288"/>
      <c r="AI13" s="2288"/>
      <c r="AJ13" s="2288"/>
      <c r="AK13" s="2288"/>
      <c r="AL13" s="2288"/>
      <c r="AM13" s="2288"/>
      <c r="AN13" s="2288"/>
      <c r="AO13" s="2304">
        <f>Application!W473</f>
        <v>0</v>
      </c>
      <c r="AP13" s="2305"/>
      <c r="AQ13" s="2305"/>
      <c r="AR13" s="2305"/>
      <c r="AS13" s="2305"/>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2435</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2434</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2433</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2432</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2431</v>
      </c>
      <c r="C18" s="2292"/>
      <c r="D18" s="2292"/>
      <c r="E18" s="2292"/>
      <c r="F18" s="2292"/>
      <c r="G18" s="2292"/>
      <c r="H18" s="2292"/>
      <c r="I18" s="2293"/>
      <c r="J18" s="2294" t="s">
        <v>1585</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2430</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73</v>
      </c>
      <c r="K19" s="2281"/>
      <c r="L19" s="2281"/>
      <c r="M19" s="2281"/>
      <c r="N19" s="2281"/>
      <c r="O19" s="2282"/>
      <c r="P19" s="2280" cm="1">
        <f t="array" ref="P19">SUMPRODUCT((Application!$B$718:$B$752 = 'CalHFA Addendum'!P$18)*(Application!$AC$718:$AC$752 = 'CalHFA Addendum'!$B19),Application!$G$718:$G$752)</f>
        <v>49</v>
      </c>
      <c r="Q19" s="2281"/>
      <c r="R19" s="2281"/>
      <c r="S19" s="2281"/>
      <c r="T19" s="2281"/>
      <c r="U19" s="2282"/>
      <c r="V19" s="2280" cm="1">
        <f t="array" ref="V19">SUMPRODUCT((Application!$B$714:$B$738 = 'CalHFA Addendum'!V$18)*(Application!$AC$714:$AC$738 = 'CalHFA Addendum'!$B19),Application!$G$714:$G$738)</f>
        <v>24</v>
      </c>
      <c r="W19" s="2281"/>
      <c r="X19" s="2281"/>
      <c r="Y19" s="2281"/>
      <c r="Z19" s="2281"/>
      <c r="AA19" s="2282"/>
      <c r="AB19" s="2280" cm="1">
        <f t="array" ref="AB19">SUMPRODUCT((Application!$B$714:$B$738 = 'CalHFA Addendum'!AB$18)*(Application!$AC$714:$AC$738 = 'CalHFA Addendum'!$B19),Application!$G$714:$G$738)</f>
        <v>0</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0.48993288590604028</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0</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0</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74</v>
      </c>
      <c r="K22" s="2281"/>
      <c r="L22" s="2281"/>
      <c r="M22" s="2281"/>
      <c r="N22" s="2281"/>
      <c r="O22" s="2282"/>
      <c r="P22" s="2280" cm="1">
        <f t="array" ref="P22">SUMPRODUCT((Application!$B$714:$B$738 = 'CalHFA Addendum'!P$18)*(Application!$AC$714:$AC$738 = 'CalHFA Addendum'!$B22),Application!$G$714:$G$738)</f>
        <v>50</v>
      </c>
      <c r="Q22" s="2281"/>
      <c r="R22" s="2281"/>
      <c r="S22" s="2281"/>
      <c r="T22" s="2281"/>
      <c r="U22" s="2282"/>
      <c r="V22" s="2280" cm="1">
        <f t="array" ref="V22">SUMPRODUCT((Application!$B$714:$B$738 = 'CalHFA Addendum'!V$18)*(Application!$AC$714:$AC$738 = 'CalHFA Addendum'!$B22),Application!$G$714:$G$738)</f>
        <v>24</v>
      </c>
      <c r="W22" s="2281"/>
      <c r="X22" s="2281"/>
      <c r="Y22" s="2281"/>
      <c r="Z22" s="2281"/>
      <c r="AA22" s="2282"/>
      <c r="AB22" s="2280" cm="1">
        <f t="array" ref="AB22">SUMPRODUCT((Application!$B$714:$B$738 = 'CalHFA Addendum'!AB$18)*(Application!$AC$714:$AC$738 = 'CalHFA Addendum'!$B22),Application!$G$714:$G$738)</f>
        <v>0</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0.49664429530201343</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2429</v>
      </c>
      <c r="C28" s="2269"/>
      <c r="D28" s="2269"/>
      <c r="E28" s="2269"/>
      <c r="F28" s="2269"/>
      <c r="G28" s="2269"/>
      <c r="H28" s="2269"/>
      <c r="I28" s="2270"/>
      <c r="J28" s="2271">
        <f>SUM(P28:AS28)</f>
        <v>2</v>
      </c>
      <c r="K28" s="2272"/>
      <c r="L28" s="2272"/>
      <c r="M28" s="2272"/>
      <c r="N28" s="2272"/>
      <c r="O28" s="2273"/>
      <c r="P28" s="2271">
        <f>_xlfn.IFNA(VLOOKUP(P$18,Application!$J$773:$S$776,6,FALSE), 0)</f>
        <v>0</v>
      </c>
      <c r="Q28" s="2272"/>
      <c r="R28" s="2272"/>
      <c r="S28" s="2272"/>
      <c r="T28" s="2272"/>
      <c r="U28" s="2273"/>
      <c r="V28" s="2271">
        <f>_xlfn.IFNA(VLOOKUP(V$18,Application!$J$773:$S$776,6,FALSE), 0)</f>
        <v>2</v>
      </c>
      <c r="W28" s="2272"/>
      <c r="X28" s="2272"/>
      <c r="Y28" s="2272"/>
      <c r="Z28" s="2272"/>
      <c r="AA28" s="2273"/>
      <c r="AB28" s="2271">
        <f>_xlfn.IFNA(VLOOKUP(AB$18,Application!$J$773:$S$776,6,FALSE), 0)</f>
        <v>0</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1.3422818791946308E-2</v>
      </c>
      <c r="AU28" s="2275"/>
      <c r="AV28" s="2275"/>
      <c r="AW28" s="2275"/>
      <c r="AX28" s="2275"/>
      <c r="AY28" s="2276"/>
      <c r="AZ28" s="1190"/>
      <c r="BA28" s="1190"/>
      <c r="BB28" s="1190"/>
      <c r="BC28" s="1190"/>
      <c r="BD28" s="1190"/>
      <c r="BE28" s="1194"/>
    </row>
    <row r="29" spans="1:58" thickBot="1">
      <c r="A29" s="1190"/>
      <c r="B29" s="2251" t="s">
        <v>1585</v>
      </c>
      <c r="C29" s="2224"/>
      <c r="D29" s="2224"/>
      <c r="E29" s="2224"/>
      <c r="F29" s="2224"/>
      <c r="G29" s="2224"/>
      <c r="H29" s="2224"/>
      <c r="I29" s="2225"/>
      <c r="J29" s="2223">
        <f>SUM(J19:O28)</f>
        <v>149</v>
      </c>
      <c r="K29" s="2224"/>
      <c r="L29" s="2224"/>
      <c r="M29" s="2224"/>
      <c r="N29" s="2224"/>
      <c r="O29" s="2225"/>
      <c r="P29" s="2223">
        <f>SUM(P19:U28)</f>
        <v>99</v>
      </c>
      <c r="Q29" s="2224"/>
      <c r="R29" s="2224"/>
      <c r="S29" s="2224"/>
      <c r="T29" s="2224"/>
      <c r="U29" s="2225"/>
      <c r="V29" s="2223">
        <f>SUM(V19:AA28)</f>
        <v>50</v>
      </c>
      <c r="W29" s="2224"/>
      <c r="X29" s="2224"/>
      <c r="Y29" s="2224"/>
      <c r="Z29" s="2224"/>
      <c r="AA29" s="2225"/>
      <c r="AB29" s="2223">
        <f>SUM(AB19:AG28)</f>
        <v>0</v>
      </c>
      <c r="AC29" s="2224"/>
      <c r="AD29" s="2224"/>
      <c r="AE29" s="2224"/>
      <c r="AF29" s="2224"/>
      <c r="AG29" s="2225"/>
      <c r="AH29" s="2223">
        <f>SUM(AH19:AM28)</f>
        <v>0</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2428</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2427</v>
      </c>
      <c r="C32" s="2233"/>
      <c r="D32" s="2233"/>
      <c r="E32" s="2233"/>
      <c r="F32" s="2233"/>
      <c r="G32" s="2233"/>
      <c r="H32" s="2233"/>
      <c r="I32" s="2233"/>
      <c r="J32" s="2236" t="s">
        <v>2426</v>
      </c>
      <c r="K32" s="2237"/>
      <c r="L32" s="2237"/>
      <c r="M32" s="2237"/>
      <c r="N32" s="2236" t="s">
        <v>2425</v>
      </c>
      <c r="O32" s="2237"/>
      <c r="P32" s="2237"/>
      <c r="Q32" s="2239"/>
      <c r="R32" s="2241" t="s">
        <v>2424</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2423</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2422</v>
      </c>
      <c r="AT35" s="2253"/>
      <c r="AU35" s="2253"/>
      <c r="AV35" s="2253"/>
      <c r="AW35" s="2253"/>
      <c r="AX35" s="2261"/>
      <c r="AY35" s="2252" t="s">
        <v>2421</v>
      </c>
      <c r="AZ35" s="2253"/>
      <c r="BA35" s="2253"/>
      <c r="BB35" s="2253"/>
      <c r="BC35" s="2253"/>
      <c r="BD35" s="2254"/>
      <c r="BE35" s="1194"/>
    </row>
    <row r="36" spans="1:58" ht="15.75" customHeight="1">
      <c r="A36" s="1190"/>
      <c r="B36" s="2156" t="s">
        <v>2420</v>
      </c>
      <c r="C36" s="2157"/>
      <c r="D36" s="2157"/>
      <c r="E36" s="2157"/>
      <c r="F36" s="2157"/>
      <c r="G36" s="2157"/>
      <c r="H36" s="2157"/>
      <c r="I36" s="2157"/>
      <c r="J36" s="2221" t="s">
        <v>2419</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2418</v>
      </c>
      <c r="C37" s="2157"/>
      <c r="D37" s="2157"/>
      <c r="E37" s="2157"/>
      <c r="F37" s="2157"/>
      <c r="G37" s="2157"/>
      <c r="H37" s="2157"/>
      <c r="I37" s="2157"/>
      <c r="J37" s="2221" t="s">
        <v>2417</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2416</v>
      </c>
      <c r="C38" s="2157"/>
      <c r="D38" s="2157"/>
      <c r="E38" s="2157"/>
      <c r="F38" s="2157"/>
      <c r="G38" s="2157"/>
      <c r="H38" s="2157"/>
      <c r="I38" s="2157"/>
      <c r="J38" s="2221" t="s">
        <v>2415</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2414</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2414</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2413</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2413</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2412</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2411</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2410</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2334</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2407</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2400</v>
      </c>
      <c r="C51" s="2099"/>
      <c r="D51" s="2099"/>
      <c r="E51" s="2099"/>
      <c r="F51" s="2099"/>
      <c r="G51" s="2099"/>
      <c r="H51" s="2099"/>
      <c r="I51" s="2099"/>
      <c r="J51" s="2099" t="s">
        <v>2406</v>
      </c>
      <c r="K51" s="2099"/>
      <c r="L51" s="2099"/>
      <c r="M51" s="2099"/>
      <c r="N51" s="2099"/>
      <c r="O51" s="2099"/>
      <c r="P51" s="2099"/>
      <c r="Q51" s="2099"/>
      <c r="R51" s="2200" t="s">
        <v>2405</v>
      </c>
      <c r="S51" s="2200"/>
      <c r="T51" s="2200"/>
      <c r="U51" s="2200"/>
      <c r="V51" s="2200"/>
      <c r="W51" s="2200"/>
      <c r="X51" s="2200"/>
      <c r="Y51" s="2200"/>
      <c r="Z51" s="2200" t="s">
        <v>2404</v>
      </c>
      <c r="AA51" s="2200"/>
      <c r="AB51" s="2200"/>
      <c r="AC51" s="2200"/>
      <c r="AD51" s="2200"/>
      <c r="AE51" s="2200"/>
      <c r="AF51" s="2200"/>
      <c r="AG51" s="2200"/>
      <c r="AH51" s="2200" t="s">
        <v>2403</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2402</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2401</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1585</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2400</v>
      </c>
      <c r="C59" s="2190"/>
      <c r="D59" s="2190"/>
      <c r="E59" s="2190"/>
      <c r="F59" s="2190"/>
      <c r="G59" s="2190"/>
      <c r="H59" s="2190"/>
      <c r="I59" s="2191"/>
      <c r="J59" s="2097" t="s">
        <v>2399</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2397</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2396</v>
      </c>
      <c r="AD68" s="2023"/>
      <c r="AE68" s="2023"/>
      <c r="AF68" s="2023"/>
      <c r="AG68" s="2023"/>
      <c r="AH68" s="2023"/>
      <c r="AI68" s="2023"/>
      <c r="AJ68" s="2023"/>
      <c r="AK68" s="2023"/>
      <c r="AL68" s="2023"/>
      <c r="AM68" s="2023"/>
      <c r="AN68" s="2023"/>
      <c r="AO68" s="2023"/>
      <c r="AP68" s="2023"/>
      <c r="AQ68" s="2023"/>
      <c r="AR68" s="2023"/>
      <c r="AS68" s="2023"/>
      <c r="AT68" s="2023"/>
      <c r="AU68" s="2023"/>
      <c r="AV68" s="2173" t="s">
        <v>668</v>
      </c>
      <c r="AW68" s="2079"/>
      <c r="AX68" s="2079"/>
      <c r="AY68" s="2079"/>
      <c r="AZ68" s="2079"/>
      <c r="BA68" s="2079"/>
      <c r="BB68" s="2079"/>
      <c r="BC68" s="2080"/>
      <c r="BD68" s="1190"/>
      <c r="BE68" s="1194"/>
      <c r="BM68" s="1199" t="s">
        <v>2395</v>
      </c>
    </row>
    <row r="69" spans="1:94" ht="15.75" customHeight="1" thickTop="1" thickBot="1">
      <c r="A69" s="1190"/>
      <c r="B69" s="2174" t="s">
        <v>2394</v>
      </c>
      <c r="C69" s="2175"/>
      <c r="D69" s="2175"/>
      <c r="E69" s="2175"/>
      <c r="F69" s="2175"/>
      <c r="G69" s="2175"/>
      <c r="H69" s="2175"/>
      <c r="I69" s="2175"/>
      <c r="J69" s="2175"/>
      <c r="K69" s="2175"/>
      <c r="L69" s="2175"/>
      <c r="M69" s="2175"/>
      <c r="N69" s="2175"/>
      <c r="O69" s="2176" t="s">
        <v>2393</v>
      </c>
      <c r="P69" s="2177"/>
      <c r="Q69" s="2177"/>
      <c r="R69" s="2177"/>
      <c r="S69" s="2177"/>
      <c r="T69" s="2177"/>
      <c r="U69" s="2177"/>
      <c r="V69" s="2177"/>
      <c r="W69" s="2177"/>
      <c r="X69" s="2177"/>
      <c r="Y69" s="2177"/>
      <c r="Z69" s="2177"/>
      <c r="AA69" s="2178"/>
      <c r="AB69" s="1190"/>
      <c r="AC69" s="2179" t="s">
        <v>2392</v>
      </c>
      <c r="AD69" s="2180"/>
      <c r="AE69" s="2180"/>
      <c r="AF69" s="2180"/>
      <c r="AG69" s="2180"/>
      <c r="AH69" s="2180"/>
      <c r="AI69" s="2180"/>
      <c r="AJ69" s="2180"/>
      <c r="AK69" s="2180"/>
      <c r="AL69" s="2180"/>
      <c r="AM69" s="2180"/>
      <c r="AN69" s="2180"/>
      <c r="AO69" s="2180"/>
      <c r="AP69" s="2180"/>
      <c r="AQ69" s="2180"/>
      <c r="AR69" s="2180"/>
      <c r="AS69" s="2180"/>
      <c r="AT69" s="2180"/>
      <c r="AU69" s="2180"/>
      <c r="AV69" s="2173" t="s">
        <v>668</v>
      </c>
      <c r="AW69" s="2079"/>
      <c r="AX69" s="2079"/>
      <c r="AY69" s="2079"/>
      <c r="AZ69" s="2079"/>
      <c r="BA69" s="2079"/>
      <c r="BB69" s="2079"/>
      <c r="BC69" s="2080"/>
      <c r="BD69" s="1190"/>
      <c r="BE69" s="1194"/>
      <c r="BM69" s="1200" t="s">
        <v>544</v>
      </c>
    </row>
    <row r="70" spans="1:94" ht="15.75" customHeight="1">
      <c r="A70" s="1190"/>
      <c r="B70" s="2156" t="s">
        <v>2391</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2390</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668</v>
      </c>
    </row>
    <row r="71" spans="1:94" ht="15.75" customHeight="1" thickBot="1">
      <c r="A71" s="1190"/>
      <c r="B71" s="2156" t="s">
        <v>2389</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2388</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2387</v>
      </c>
    </row>
    <row r="72" spans="1:94" ht="15.75" customHeight="1">
      <c r="A72" s="1190"/>
      <c r="B72" s="2156" t="s">
        <v>2386</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2385</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2384</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2329</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2382</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2381</v>
      </c>
      <c r="C81" s="2151"/>
      <c r="D81" s="2151"/>
      <c r="E81" s="2151"/>
      <c r="F81" s="2151"/>
      <c r="G81" s="2151"/>
      <c r="H81" s="2151"/>
      <c r="I81" s="2151"/>
      <c r="J81" s="2151"/>
      <c r="K81" s="2151"/>
      <c r="L81" s="2151"/>
      <c r="M81" s="2151"/>
      <c r="N81" s="2151"/>
      <c r="O81" s="2151"/>
      <c r="P81" s="2151"/>
      <c r="Q81" s="2151"/>
      <c r="R81" s="2132" t="s">
        <v>2187</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2380</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2379</v>
      </c>
      <c r="AK83" s="2121"/>
      <c r="AL83" s="2121"/>
      <c r="AM83" s="2121"/>
      <c r="AN83" s="2121"/>
      <c r="AO83" s="2121"/>
      <c r="AP83" s="2121"/>
      <c r="AQ83" s="2121"/>
      <c r="AR83" s="2121"/>
      <c r="AS83" s="2121"/>
      <c r="AT83" s="2121"/>
      <c r="AU83" s="2121"/>
      <c r="AV83" s="2121"/>
      <c r="AW83" s="2121"/>
      <c r="AX83" s="2121"/>
      <c r="AY83" s="2137" t="s">
        <v>544</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2369</v>
      </c>
      <c r="J84" s="2099"/>
      <c r="K84" s="2099"/>
      <c r="L84" s="2099"/>
      <c r="M84" s="2099"/>
      <c r="N84" s="2099"/>
      <c r="O84" s="2099" t="s">
        <v>2345</v>
      </c>
      <c r="P84" s="2099"/>
      <c r="Q84" s="2099"/>
      <c r="R84" s="2099"/>
      <c r="S84" s="2099"/>
      <c r="T84" s="2099"/>
      <c r="U84" s="2099"/>
      <c r="V84" s="2135" t="s">
        <v>2344</v>
      </c>
      <c r="W84" s="2135"/>
      <c r="X84" s="2135"/>
      <c r="Y84" s="2135"/>
      <c r="Z84" s="2135"/>
      <c r="AA84" s="2135"/>
      <c r="AB84" s="2069" t="s">
        <v>2368</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2367</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2366</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2373</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2365</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2377</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2376</v>
      </c>
      <c r="C94" s="2151"/>
      <c r="D94" s="2151"/>
      <c r="E94" s="2151"/>
      <c r="F94" s="2151"/>
      <c r="G94" s="2151"/>
      <c r="H94" s="2151"/>
      <c r="I94" s="2151"/>
      <c r="J94" s="2151"/>
      <c r="K94" s="2151"/>
      <c r="L94" s="2151"/>
      <c r="M94" s="2151"/>
      <c r="N94" s="2151"/>
      <c r="O94" s="2151"/>
      <c r="P94" s="2151"/>
      <c r="Q94" s="2152"/>
      <c r="R94" s="2132" t="s">
        <v>2187</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2375</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2374</v>
      </c>
      <c r="AK96" s="2121"/>
      <c r="AL96" s="2121"/>
      <c r="AM96" s="2121"/>
      <c r="AN96" s="2121"/>
      <c r="AO96" s="2121"/>
      <c r="AP96" s="2121"/>
      <c r="AQ96" s="2121"/>
      <c r="AR96" s="2121"/>
      <c r="AS96" s="2121"/>
      <c r="AT96" s="2121"/>
      <c r="AU96" s="2121"/>
      <c r="AV96" s="2121"/>
      <c r="AW96" s="2121"/>
      <c r="AX96" s="2121"/>
      <c r="AY96" s="2137" t="s">
        <v>544</v>
      </c>
      <c r="AZ96" s="2137"/>
      <c r="BA96" s="2137"/>
      <c r="BB96" s="2138"/>
      <c r="BC96" s="1190"/>
      <c r="BD96" s="1190"/>
      <c r="BE96" s="1194"/>
      <c r="BQ96" s="1256" t="str">
        <f>Application!M243&amp;IF(TRIM(Application!AA249)&lt;&gt;""," ("&amp;Application!AA249&amp;")","")</f>
        <v>Hearthstone Green Manor, LLC (By: Heathstone Housing Foundation, its sole member) (Green Manor Housing Partners, LP)</v>
      </c>
      <c r="BR96" s="1259">
        <f>Application!AH246</f>
        <v>0.01</v>
      </c>
      <c r="CM96" s="1188"/>
      <c r="CN96" s="1188"/>
      <c r="CO96" s="1188"/>
      <c r="CP96" s="1188"/>
    </row>
    <row r="97" spans="1:94" ht="15.75" customHeight="1">
      <c r="A97" s="1190"/>
      <c r="B97" s="2131"/>
      <c r="C97" s="2099"/>
      <c r="D97" s="2099"/>
      <c r="E97" s="2099"/>
      <c r="F97" s="2099"/>
      <c r="G97" s="2099"/>
      <c r="H97" s="2099"/>
      <c r="I97" s="2099" t="s">
        <v>2369</v>
      </c>
      <c r="J97" s="2099"/>
      <c r="K97" s="2099"/>
      <c r="L97" s="2099"/>
      <c r="M97" s="2099"/>
      <c r="N97" s="2099"/>
      <c r="O97" s="2099" t="s">
        <v>2345</v>
      </c>
      <c r="P97" s="2099"/>
      <c r="Q97" s="2099"/>
      <c r="R97" s="2099"/>
      <c r="S97" s="2099"/>
      <c r="T97" s="2099"/>
      <c r="U97" s="2099"/>
      <c r="V97" s="2135" t="s">
        <v>2344</v>
      </c>
      <c r="W97" s="2135"/>
      <c r="X97" s="2135"/>
      <c r="Y97" s="2135"/>
      <c r="Z97" s="2135"/>
      <c r="AA97" s="2135"/>
      <c r="AB97" s="2069" t="s">
        <v>2368</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Green Manor MGP, LLC (Green Manor Housing Partners, LP)</v>
      </c>
      <c r="BR97" s="1259">
        <f>Application!AH254</f>
        <v>0.01</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2367</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2366</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2373</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2365</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Royal Property Management Group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2370</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2369</v>
      </c>
      <c r="J108" s="2099"/>
      <c r="K108" s="2099"/>
      <c r="L108" s="2099"/>
      <c r="M108" s="2099"/>
      <c r="N108" s="2099"/>
      <c r="O108" s="2099" t="s">
        <v>2345</v>
      </c>
      <c r="P108" s="2099"/>
      <c r="Q108" s="2099"/>
      <c r="R108" s="2099"/>
      <c r="S108" s="2099"/>
      <c r="T108" s="2099"/>
      <c r="U108" s="2099"/>
      <c r="V108" s="2135" t="s">
        <v>2344</v>
      </c>
      <c r="W108" s="2135"/>
      <c r="X108" s="2135"/>
      <c r="Y108" s="2135"/>
      <c r="Z108" s="2135"/>
      <c r="AA108" s="2135"/>
      <c r="AB108" s="2069" t="s">
        <v>2368</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2367</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2366</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2365</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2363</v>
      </c>
      <c r="C117" s="2105"/>
      <c r="D117" s="2105"/>
      <c r="E117" s="2105"/>
      <c r="F117" s="2105"/>
      <c r="G117" s="2105"/>
      <c r="H117" s="2105"/>
      <c r="I117" s="2105"/>
      <c r="J117" s="2105"/>
      <c r="K117" s="2105"/>
      <c r="L117" s="2105"/>
      <c r="M117" s="2105"/>
      <c r="N117" s="2105"/>
      <c r="O117" s="2105"/>
      <c r="P117" s="2105"/>
      <c r="Q117" s="2105"/>
      <c r="R117" s="2105"/>
      <c r="S117" s="2105"/>
      <c r="T117" s="2105"/>
      <c r="U117" s="2108" t="s">
        <v>544</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2363</v>
      </c>
      <c r="C121" s="2113"/>
      <c r="D121" s="2113"/>
      <c r="E121" s="2113"/>
      <c r="F121" s="2113"/>
      <c r="G121" s="2113"/>
      <c r="H121" s="2113"/>
      <c r="I121" s="2113"/>
      <c r="J121" s="2113"/>
      <c r="K121" s="2113"/>
      <c r="L121" s="2113"/>
      <c r="M121" s="2113"/>
      <c r="N121" s="2113"/>
      <c r="O121" s="2113"/>
      <c r="P121" s="2113"/>
      <c r="Q121" s="2113"/>
      <c r="R121" s="2113"/>
      <c r="S121" s="2113"/>
      <c r="T121" s="2113"/>
      <c r="U121" s="2116" t="s">
        <v>544</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2361</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1575</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2360</v>
      </c>
      <c r="J127" s="2099"/>
      <c r="K127" s="2099"/>
      <c r="L127" s="2099"/>
      <c r="M127" s="2099"/>
      <c r="N127" s="2099"/>
      <c r="O127" s="2100" t="s">
        <v>2359</v>
      </c>
      <c r="P127" s="2100"/>
      <c r="Q127" s="2100"/>
      <c r="R127" s="2100"/>
      <c r="S127" s="2100"/>
      <c r="T127" s="2100"/>
      <c r="U127" s="2101"/>
      <c r="V127" s="1190"/>
      <c r="W127" s="1190"/>
      <c r="X127" s="2039" t="s">
        <v>2329</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2343</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2342</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2357</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2345</v>
      </c>
      <c r="J134" s="2074"/>
      <c r="K134" s="2074"/>
      <c r="L134" s="2074"/>
      <c r="M134" s="2074"/>
      <c r="N134" s="2074"/>
      <c r="O134" s="2074"/>
      <c r="P134" s="2074" t="s">
        <v>2344</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2343</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2342</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2356</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544</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2355</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2354</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544</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2353</v>
      </c>
      <c r="C142" s="2082"/>
      <c r="D142" s="2082"/>
      <c r="E142" s="2082"/>
      <c r="F142" s="2082"/>
      <c r="G142" s="2082"/>
      <c r="H142" s="2082"/>
      <c r="I142" s="2082"/>
      <c r="J142" s="2082"/>
      <c r="K142" s="2082"/>
      <c r="L142" s="2082"/>
      <c r="M142" s="2082"/>
      <c r="N142" s="2082"/>
      <c r="O142" s="2082"/>
      <c r="P142" s="2082"/>
      <c r="Q142" s="2082"/>
      <c r="R142" s="2083" t="s">
        <v>2352</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250</v>
      </c>
      <c r="BD142" s="1190"/>
      <c r="BE142" s="1194"/>
    </row>
    <row r="143" spans="1:57" ht="15.75" customHeight="1">
      <c r="A143" s="1190"/>
      <c r="B143" s="2085" t="s">
        <v>2351</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2348</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2347</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2345</v>
      </c>
      <c r="J157" s="2074"/>
      <c r="K157" s="2074"/>
      <c r="L157" s="2074"/>
      <c r="M157" s="2074"/>
      <c r="N157" s="2074"/>
      <c r="O157" s="2074"/>
      <c r="P157" s="2074" t="s">
        <v>2346</v>
      </c>
      <c r="Q157" s="2074"/>
      <c r="R157" s="2074"/>
      <c r="S157" s="2074"/>
      <c r="T157" s="2074"/>
      <c r="U157" s="2075"/>
      <c r="V157" s="1190"/>
      <c r="W157" s="1190"/>
      <c r="X157" s="2036"/>
      <c r="Y157" s="2037"/>
      <c r="Z157" s="2037"/>
      <c r="AA157" s="2037"/>
      <c r="AB157" s="2037"/>
      <c r="AC157" s="2037"/>
      <c r="AD157" s="2037"/>
      <c r="AE157" s="2074" t="s">
        <v>2345</v>
      </c>
      <c r="AF157" s="2074"/>
      <c r="AG157" s="2074"/>
      <c r="AH157" s="2074"/>
      <c r="AI157" s="2074"/>
      <c r="AJ157" s="2074"/>
      <c r="AK157" s="2074"/>
      <c r="AL157" s="2074" t="s">
        <v>2344</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2343</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2343</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2342</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2341</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2326</v>
      </c>
      <c r="D163" s="2037"/>
      <c r="E163" s="2037"/>
      <c r="F163" s="2037"/>
      <c r="G163" s="2037"/>
      <c r="H163" s="2037"/>
      <c r="I163" s="2037"/>
      <c r="J163" s="2037"/>
      <c r="K163" s="2037"/>
      <c r="L163" s="2037"/>
      <c r="M163" s="2037"/>
      <c r="N163" s="2037"/>
      <c r="O163" s="2037"/>
      <c r="P163" s="2037"/>
      <c r="Q163" s="2037" t="s">
        <v>2340</v>
      </c>
      <c r="R163" s="2037"/>
      <c r="S163" s="2037"/>
      <c r="T163" s="2069" t="s">
        <v>2339</v>
      </c>
      <c r="U163" s="2069"/>
      <c r="V163" s="2069"/>
      <c r="W163" s="2069"/>
      <c r="X163" s="2069"/>
      <c r="Y163" s="2069"/>
      <c r="Z163" s="2069"/>
      <c r="AA163" s="2069"/>
      <c r="AB163" s="2037" t="s">
        <v>2338</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2337</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2336</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2335</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2334</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170</v>
      </c>
      <c r="D168" s="2052"/>
      <c r="E168" s="2052"/>
      <c r="F168" s="2053" t="s">
        <v>2315</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170</v>
      </c>
      <c r="D169" s="2052"/>
      <c r="E169" s="2052"/>
      <c r="F169" s="2053" t="s">
        <v>2315</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170</v>
      </c>
      <c r="D170" s="2058"/>
      <c r="E170" s="2058"/>
      <c r="F170" s="2059" t="s">
        <v>2315</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2333</v>
      </c>
      <c r="D172" s="2023"/>
      <c r="E172" s="2023"/>
      <c r="F172" s="2023"/>
      <c r="G172" s="2023"/>
      <c r="H172" s="2023"/>
      <c r="I172" s="2023"/>
      <c r="J172" s="2023"/>
      <c r="K172" s="2023"/>
      <c r="L172" s="2023"/>
      <c r="M172" s="2023"/>
      <c r="N172" s="2032"/>
      <c r="O172" s="1190"/>
      <c r="P172" s="2033" t="s">
        <v>2332</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2331</v>
      </c>
      <c r="D173" s="2037"/>
      <c r="E173" s="2037"/>
      <c r="F173" s="2037"/>
      <c r="G173" s="2037"/>
      <c r="H173" s="2037"/>
      <c r="I173" s="2037" t="s">
        <v>2330</v>
      </c>
      <c r="J173" s="2037"/>
      <c r="K173" s="2037"/>
      <c r="L173" s="2037"/>
      <c r="M173" s="2037"/>
      <c r="N173" s="2038"/>
      <c r="O173" s="1190"/>
      <c r="P173" s="2039" t="s">
        <v>2329</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2328</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2326</v>
      </c>
      <c r="D184" s="2023"/>
      <c r="E184" s="2023"/>
      <c r="F184" s="2023"/>
      <c r="G184" s="2023"/>
      <c r="H184" s="2023"/>
      <c r="I184" s="2023"/>
      <c r="J184" s="2023"/>
      <c r="K184" s="2023"/>
      <c r="L184" s="2023"/>
      <c r="M184" s="2023"/>
      <c r="N184" s="2023" t="s">
        <v>2327</v>
      </c>
      <c r="O184" s="2023"/>
      <c r="P184" s="2023"/>
      <c r="Q184" s="2023"/>
      <c r="R184" s="2023"/>
      <c r="S184" s="2023"/>
      <c r="T184" s="2023"/>
      <c r="U184" s="2024" t="s">
        <v>2326</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2325</v>
      </c>
      <c r="D185" s="2002"/>
      <c r="E185" s="2002"/>
      <c r="F185" s="2002"/>
      <c r="G185" s="2002"/>
      <c r="H185" s="2002"/>
      <c r="I185" s="2002"/>
      <c r="J185" s="2002"/>
      <c r="K185" s="2002"/>
      <c r="L185" s="2002"/>
      <c r="M185" s="2002"/>
      <c r="N185" s="2012">
        <f>'Sources and Uses Budget'!B105</f>
        <v>66914618</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2324</v>
      </c>
      <c r="D186" s="2002"/>
      <c r="E186" s="2002"/>
      <c r="F186" s="2002"/>
      <c r="G186" s="2002"/>
      <c r="H186" s="2002"/>
      <c r="I186" s="2002"/>
      <c r="J186" s="2002"/>
      <c r="K186" s="2002"/>
      <c r="L186" s="2002"/>
      <c r="M186" s="2002"/>
      <c r="N186" s="2012">
        <f>N185/J29</f>
        <v>449091.39597315434</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2323</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2322</v>
      </c>
      <c r="D188" s="2002"/>
      <c r="E188" s="2002"/>
      <c r="F188" s="2002"/>
      <c r="G188" s="2002"/>
      <c r="H188" s="2002"/>
      <c r="I188" s="2002"/>
      <c r="J188" s="2002"/>
      <c r="K188" s="2002"/>
      <c r="L188" s="2002"/>
      <c r="M188" s="2002"/>
      <c r="N188" s="2031">
        <f>SUM('Sources and Uses Budget'!B85:B86)</f>
        <v>24455</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2321</v>
      </c>
      <c r="D189" s="2002"/>
      <c r="E189" s="2002"/>
      <c r="F189" s="2002"/>
      <c r="G189" s="2002"/>
      <c r="H189" s="2002"/>
      <c r="I189" s="2002"/>
      <c r="J189" s="2002"/>
      <c r="K189" s="2002"/>
      <c r="L189" s="2002"/>
      <c r="M189" s="2002"/>
      <c r="N189" s="2031">
        <f>'Sources and Uses Budget'!B8</f>
        <v>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2319</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2320</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2319</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2318</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2317</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300</v>
      </c>
      <c r="D192" s="1994"/>
      <c r="E192" s="1986" t="s">
        <v>2315</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2316</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300</v>
      </c>
      <c r="D193" s="1985"/>
      <c r="E193" s="1986" t="s">
        <v>2315</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300</v>
      </c>
      <c r="D194" s="1973"/>
      <c r="E194" s="1974" t="s">
        <v>2315</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2314</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2313</v>
      </c>
      <c r="D195" s="1956"/>
      <c r="E195" s="1956"/>
      <c r="F195" s="1956"/>
      <c r="G195" s="1956"/>
      <c r="H195" s="1956"/>
      <c r="I195" s="1956"/>
      <c r="J195" s="1956"/>
      <c r="K195" s="1956"/>
      <c r="L195" s="1956"/>
      <c r="M195" s="1956"/>
      <c r="N195" s="1957">
        <f>SUM(N187:T194)</f>
        <v>24455</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2312</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2311</v>
      </c>
      <c r="D196" s="1966"/>
      <c r="E196" s="1966"/>
      <c r="F196" s="1966"/>
      <c r="G196" s="1966"/>
      <c r="H196" s="1966"/>
      <c r="I196" s="1966"/>
      <c r="J196" s="1966"/>
      <c r="K196" s="1966"/>
      <c r="L196" s="1966"/>
      <c r="M196" s="1966"/>
      <c r="N196" s="1967">
        <f>(N185-N195)/J29</f>
        <v>448927.26845637587</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2310</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2309</v>
      </c>
      <c r="D200" s="1953"/>
      <c r="E200" s="1953"/>
      <c r="F200" s="1953"/>
      <c r="G200" s="1953"/>
      <c r="H200" s="1953"/>
      <c r="I200" s="1953"/>
      <c r="J200" s="1953"/>
      <c r="K200" s="1953"/>
      <c r="L200" s="1953"/>
      <c r="M200" s="1953"/>
      <c r="N200" s="1953"/>
      <c r="O200" s="1954" t="s">
        <v>2308</v>
      </c>
      <c r="P200" s="1954"/>
      <c r="Q200" s="1954"/>
      <c r="R200" s="1954"/>
      <c r="S200" s="1954"/>
      <c r="T200" s="1954"/>
      <c r="U200" s="1954"/>
      <c r="V200" s="1954"/>
      <c r="W200" s="1954"/>
      <c r="X200" s="1954" t="s">
        <v>2307</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2306</v>
      </c>
      <c r="D201" s="1945"/>
      <c r="E201" s="1945"/>
      <c r="F201" s="1945"/>
      <c r="G201" s="1945"/>
      <c r="H201" s="1945"/>
      <c r="I201" s="1945"/>
      <c r="J201" s="1945"/>
      <c r="K201" s="1945"/>
      <c r="L201" s="1945"/>
      <c r="M201" s="1945"/>
      <c r="N201" s="1945"/>
      <c r="O201" s="1946" t="s">
        <v>2305</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853</v>
      </c>
      <c r="D202" s="1945"/>
      <c r="E202" s="1945"/>
      <c r="F202" s="1945"/>
      <c r="G202" s="1945"/>
      <c r="H202" s="1945"/>
      <c r="I202" s="1945"/>
      <c r="J202" s="1945"/>
      <c r="K202" s="1945"/>
      <c r="L202" s="1945"/>
      <c r="M202" s="1945"/>
      <c r="N202" s="1945"/>
      <c r="O202" s="1946" t="s">
        <v>2305</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2304</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2303</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2302</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2301</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2300</v>
      </c>
      <c r="D207" s="1924"/>
      <c r="E207" s="1924"/>
      <c r="F207" s="1925"/>
      <c r="G207" s="1929" t="s">
        <v>2299</v>
      </c>
      <c r="H207" s="1924"/>
      <c r="I207" s="1924"/>
      <c r="J207" s="1924"/>
      <c r="K207" s="1924"/>
      <c r="L207" s="1924"/>
      <c r="M207" s="1924"/>
      <c r="N207" s="1924"/>
      <c r="O207" s="1925"/>
      <c r="P207" s="1931" t="s">
        <v>2298</v>
      </c>
      <c r="Q207" s="1932"/>
      <c r="R207" s="1932"/>
      <c r="S207" s="1932"/>
      <c r="T207" s="1933"/>
      <c r="U207" s="1937" t="s">
        <v>2297</v>
      </c>
      <c r="V207" s="1938"/>
      <c r="W207" s="1938"/>
      <c r="X207" s="1939"/>
      <c r="Y207" s="1937" t="s">
        <v>2296</v>
      </c>
      <c r="Z207" s="1938"/>
      <c r="AA207" s="1938"/>
      <c r="AB207" s="1939"/>
      <c r="AC207" s="1937" t="s">
        <v>2295</v>
      </c>
      <c r="AD207" s="1938"/>
      <c r="AE207" s="1938"/>
      <c r="AF207" s="1939"/>
      <c r="AG207" s="1929" t="s">
        <v>2294</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1883</v>
      </c>
      <c r="H209" s="1914"/>
      <c r="I209" s="1914"/>
      <c r="J209" s="1914"/>
      <c r="K209" s="1914"/>
      <c r="L209" s="1914"/>
      <c r="M209" s="1914"/>
      <c r="N209" s="1914"/>
      <c r="O209" s="1914"/>
      <c r="P209" s="1915"/>
      <c r="Q209" s="1918"/>
      <c r="R209" s="1918"/>
      <c r="S209" s="1918"/>
      <c r="T209" s="1918"/>
      <c r="U209" s="1916" t="s">
        <v>1883</v>
      </c>
      <c r="V209" s="1916"/>
      <c r="W209" s="1916"/>
      <c r="X209" s="1916"/>
      <c r="Y209" s="1916" t="s">
        <v>1883</v>
      </c>
      <c r="Z209" s="1916"/>
      <c r="AA209" s="1916"/>
      <c r="AB209" s="1916"/>
      <c r="AC209" s="1917" t="s">
        <v>1883</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1883</v>
      </c>
      <c r="H210" s="1914"/>
      <c r="I210" s="1914"/>
      <c r="J210" s="1914"/>
      <c r="K210" s="1914"/>
      <c r="L210" s="1914"/>
      <c r="M210" s="1914"/>
      <c r="N210" s="1914"/>
      <c r="O210" s="1914"/>
      <c r="P210" s="1915"/>
      <c r="Q210" s="1915"/>
      <c r="R210" s="1915"/>
      <c r="S210" s="1915"/>
      <c r="T210" s="1915"/>
      <c r="U210" s="1916" t="s">
        <v>1883</v>
      </c>
      <c r="V210" s="1916"/>
      <c r="W210" s="1916"/>
      <c r="X210" s="1916"/>
      <c r="Y210" s="1916" t="s">
        <v>1883</v>
      </c>
      <c r="Z210" s="1916"/>
      <c r="AA210" s="1916"/>
      <c r="AB210" s="1916"/>
      <c r="AC210" s="1917" t="s">
        <v>1883</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1883</v>
      </c>
      <c r="H211" s="1914"/>
      <c r="I211" s="1914"/>
      <c r="J211" s="1914"/>
      <c r="K211" s="1914"/>
      <c r="L211" s="1914"/>
      <c r="M211" s="1914"/>
      <c r="N211" s="1914"/>
      <c r="O211" s="1914"/>
      <c r="P211" s="1915"/>
      <c r="Q211" s="1915"/>
      <c r="R211" s="1915"/>
      <c r="S211" s="1915"/>
      <c r="T211" s="1915"/>
      <c r="U211" s="1916" t="s">
        <v>1883</v>
      </c>
      <c r="V211" s="1916"/>
      <c r="W211" s="1916"/>
      <c r="X211" s="1916"/>
      <c r="Y211" s="1916" t="s">
        <v>1883</v>
      </c>
      <c r="Z211" s="1916"/>
      <c r="AA211" s="1916"/>
      <c r="AB211" s="1916"/>
      <c r="AC211" s="1917" t="s">
        <v>1883</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1883</v>
      </c>
      <c r="H212" s="1914"/>
      <c r="I212" s="1914"/>
      <c r="J212" s="1914"/>
      <c r="K212" s="1914"/>
      <c r="L212" s="1914"/>
      <c r="M212" s="1914"/>
      <c r="N212" s="1914"/>
      <c r="O212" s="1914"/>
      <c r="P212" s="1915"/>
      <c r="Q212" s="1915"/>
      <c r="R212" s="1915"/>
      <c r="S212" s="1915"/>
      <c r="T212" s="1915"/>
      <c r="U212" s="1916" t="s">
        <v>1883</v>
      </c>
      <c r="V212" s="1916"/>
      <c r="W212" s="1916"/>
      <c r="X212" s="1916"/>
      <c r="Y212" s="1916" t="s">
        <v>1883</v>
      </c>
      <c r="Z212" s="1916"/>
      <c r="AA212" s="1916"/>
      <c r="AB212" s="1916"/>
      <c r="AC212" s="1917" t="s">
        <v>1883</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1883</v>
      </c>
      <c r="H213" s="1914"/>
      <c r="I213" s="1914"/>
      <c r="J213" s="1914"/>
      <c r="K213" s="1914"/>
      <c r="L213" s="1914"/>
      <c r="M213" s="1914"/>
      <c r="N213" s="1914"/>
      <c r="O213" s="1914"/>
      <c r="P213" s="1915"/>
      <c r="Q213" s="1915"/>
      <c r="R213" s="1915"/>
      <c r="S213" s="1915"/>
      <c r="T213" s="1915"/>
      <c r="U213" s="1916" t="s">
        <v>1883</v>
      </c>
      <c r="V213" s="1916"/>
      <c r="W213" s="1916"/>
      <c r="X213" s="1916"/>
      <c r="Y213" s="1916" t="s">
        <v>1883</v>
      </c>
      <c r="Z213" s="1916"/>
      <c r="AA213" s="1916"/>
      <c r="AB213" s="1916"/>
      <c r="AC213" s="1917" t="s">
        <v>1883</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1883</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1883</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1883</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2293</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2291</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2290</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2289</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2288</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2286</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2285</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2284</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2283</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2282</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440</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2281</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2280</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2" t="s">
        <v>1279</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374</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11878075</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53000000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496</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497</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498</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499</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804</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500</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3" t="s">
        <v>959</v>
      </c>
      <c r="D18" s="1563"/>
      <c r="E18" s="1563"/>
      <c r="F18" s="1563"/>
      <c r="G18" s="1563"/>
      <c r="H18" s="1563"/>
      <c r="I18" s="1563"/>
      <c r="J18" s="1563"/>
      <c r="K18" s="1563"/>
      <c r="L18" s="1563"/>
      <c r="M18" s="1563"/>
      <c r="N18" s="1563"/>
      <c r="O18" s="1563"/>
      <c r="P18" s="1563"/>
      <c r="Q18" s="1563"/>
      <c r="R18" s="1563"/>
      <c r="S18" s="1564"/>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3" t="s">
        <v>959</v>
      </c>
      <c r="D19" s="1563"/>
      <c r="E19" s="1563"/>
      <c r="F19" s="1563"/>
      <c r="G19" s="1563"/>
      <c r="H19" s="1563"/>
      <c r="I19" s="1563"/>
      <c r="J19" s="1563"/>
      <c r="K19" s="1563"/>
      <c r="L19" s="1563"/>
      <c r="M19" s="1563"/>
      <c r="N19" s="1563"/>
      <c r="O19" s="1563"/>
      <c r="P19" s="1563"/>
      <c r="Q19" s="1563"/>
      <c r="R19" s="1563"/>
      <c r="S19" s="1564"/>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501</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1262</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502</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503</v>
      </c>
      <c r="C23" s="2339"/>
      <c r="D23" s="2339"/>
      <c r="E23" s="2339"/>
      <c r="F23" s="2339"/>
      <c r="G23" s="2339"/>
      <c r="H23" s="2339"/>
      <c r="I23" s="2339"/>
      <c r="J23" s="2339"/>
      <c r="K23" s="2339"/>
      <c r="L23" s="2339"/>
      <c r="M23" s="2339"/>
      <c r="N23" s="2339"/>
      <c r="O23" s="2339"/>
      <c r="P23" s="2339"/>
      <c r="Q23" s="2339"/>
      <c r="R23" s="2339"/>
      <c r="S23" s="2340"/>
      <c r="T23" s="2351">
        <f>T11+T22</f>
        <v>11878075</v>
      </c>
      <c r="U23" s="2332"/>
      <c r="V23" s="2332"/>
      <c r="W23" s="2332"/>
      <c r="X23" s="2332"/>
      <c r="Y23" s="2351">
        <f>Y11+Y22</f>
        <v>0</v>
      </c>
      <c r="Z23" s="2332"/>
      <c r="AA23" s="2332"/>
      <c r="AB23" s="2332"/>
      <c r="AC23" s="2332"/>
      <c r="AD23" s="2351">
        <f>AD11+AD22</f>
        <v>53000000</v>
      </c>
      <c r="AE23" s="2332"/>
      <c r="AF23" s="2332"/>
      <c r="AG23" s="2332"/>
      <c r="AH23" s="2332"/>
      <c r="AI23" s="2351">
        <f>AI11+AI22</f>
        <v>0</v>
      </c>
      <c r="AJ23" s="2332"/>
      <c r="AK23" s="2332"/>
      <c r="AL23" s="2332"/>
      <c r="AM23" s="2332"/>
    </row>
    <row r="24" spans="1:40" ht="12.95" customHeight="1">
      <c r="B24" s="2338" t="s">
        <v>960</v>
      </c>
      <c r="C24" s="2339"/>
      <c r="D24" s="2339"/>
      <c r="E24" s="2339"/>
      <c r="F24" s="2339"/>
      <c r="G24" s="2339"/>
      <c r="H24" s="2339"/>
      <c r="I24" s="2339"/>
      <c r="J24" s="2339"/>
      <c r="K24" s="2339"/>
      <c r="L24" s="2339"/>
      <c r="M24" s="2339"/>
      <c r="N24" s="2339"/>
      <c r="O24" s="2339"/>
      <c r="P24" s="2339"/>
      <c r="Q24" s="2339"/>
      <c r="R24" s="2339"/>
      <c r="S24" s="2340"/>
      <c r="T24" s="2342">
        <f>Application!AJ1053</f>
        <v>123953961.46000001</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1263</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504</v>
      </c>
      <c r="C26" s="2339"/>
      <c r="D26" s="2339"/>
      <c r="E26" s="2339"/>
      <c r="F26" s="2339"/>
      <c r="G26" s="2339"/>
      <c r="H26" s="2339"/>
      <c r="I26" s="2339"/>
      <c r="J26" s="2339"/>
      <c r="K26" s="2339"/>
      <c r="L26" s="2339"/>
      <c r="M26" s="2339"/>
      <c r="N26" s="2339"/>
      <c r="O26" s="2339"/>
      <c r="P26" s="2339"/>
      <c r="Q26" s="2339"/>
      <c r="R26" s="2339"/>
      <c r="S26" s="2340"/>
      <c r="T26" s="2351">
        <f>T23*T25</f>
        <v>15441497.5</v>
      </c>
      <c r="U26" s="2332"/>
      <c r="V26" s="2332"/>
      <c r="W26" s="2332"/>
      <c r="X26" s="2332"/>
      <c r="Y26" s="2351">
        <f>Y23*Y25</f>
        <v>0</v>
      </c>
      <c r="Z26" s="2332"/>
      <c r="AA26" s="2332"/>
      <c r="AB26" s="2332"/>
      <c r="AC26" s="2332"/>
      <c r="AD26" s="2351">
        <f>AD23*AD25</f>
        <v>53000000</v>
      </c>
      <c r="AE26" s="2332"/>
      <c r="AF26" s="2332"/>
      <c r="AG26" s="2332"/>
      <c r="AH26" s="2332"/>
      <c r="AI26" s="2351">
        <f>AI23*AI25</f>
        <v>0</v>
      </c>
      <c r="AJ26" s="2332"/>
      <c r="AK26" s="2332"/>
      <c r="AL26" s="2332"/>
      <c r="AM26" s="2332"/>
    </row>
    <row r="27" spans="1:40" ht="12.95" customHeight="1">
      <c r="A27" s="410"/>
      <c r="B27" s="2385" t="s">
        <v>425</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505</v>
      </c>
      <c r="C28" s="2339"/>
      <c r="D28" s="2339"/>
      <c r="E28" s="2339"/>
      <c r="F28" s="2339"/>
      <c r="G28" s="2339"/>
      <c r="H28" s="2339"/>
      <c r="I28" s="2339"/>
      <c r="J28" s="2339"/>
      <c r="K28" s="2339"/>
      <c r="L28" s="2339"/>
      <c r="M28" s="2339"/>
      <c r="N28" s="2339"/>
      <c r="O28" s="2339"/>
      <c r="P28" s="2339"/>
      <c r="Q28" s="2339"/>
      <c r="R28" s="2339"/>
      <c r="S28" s="2340"/>
      <c r="T28" s="2351">
        <f>IF(ISERROR((T26*T27)),0,(T26*T27))</f>
        <v>15441497.5</v>
      </c>
      <c r="U28" s="2332"/>
      <c r="V28" s="2332"/>
      <c r="W28" s="2332"/>
      <c r="X28" s="2332"/>
      <c r="Y28" s="2351">
        <f>IF(ISERROR((Y26*Y27)),0,(Y26*Y27))</f>
        <v>0</v>
      </c>
      <c r="Z28" s="2332"/>
      <c r="AA28" s="2332"/>
      <c r="AB28" s="2332"/>
      <c r="AC28" s="2332"/>
      <c r="AD28" s="2351">
        <f>IF(ISERROR((AD26*AD27)),0,(AD26*AD27))</f>
        <v>53000000</v>
      </c>
      <c r="AE28" s="2332"/>
      <c r="AF28" s="2332"/>
      <c r="AG28" s="2332"/>
      <c r="AH28" s="2332"/>
      <c r="AI28" s="2351">
        <f>IF(ISERROR((AI26*AI27)),0,(AI26*AI27))</f>
        <v>0</v>
      </c>
      <c r="AJ28" s="2332"/>
      <c r="AK28" s="2332"/>
      <c r="AL28" s="2332"/>
      <c r="AM28" s="2332"/>
    </row>
    <row r="29" spans="1:40" ht="12.95" customHeight="1">
      <c r="B29" s="2338" t="s">
        <v>522</v>
      </c>
      <c r="C29" s="2339"/>
      <c r="D29" s="2339"/>
      <c r="E29" s="2339"/>
      <c r="F29" s="2339"/>
      <c r="G29" s="2339"/>
      <c r="H29" s="2339"/>
      <c r="I29" s="2339"/>
      <c r="J29" s="2339"/>
      <c r="K29" s="2339"/>
      <c r="L29" s="2339"/>
      <c r="M29" s="2339"/>
      <c r="N29" s="2339"/>
      <c r="O29" s="2339"/>
      <c r="P29" s="2339"/>
      <c r="Q29" s="2339"/>
      <c r="R29" s="2339"/>
      <c r="S29" s="2340"/>
      <c r="T29" s="2342">
        <f>T28+Y28+AD28+AI28</f>
        <v>68441497.5</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1265</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1264</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1153</v>
      </c>
      <c r="Z35" s="2352"/>
      <c r="AA35" s="2352"/>
      <c r="AB35" s="2352"/>
      <c r="AC35" s="2352"/>
      <c r="AD35" s="2353" t="s">
        <v>369</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505</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15441497.5</v>
      </c>
      <c r="Z38" s="2332"/>
      <c r="AA38" s="2332"/>
      <c r="AB38" s="2332"/>
      <c r="AC38" s="2332"/>
      <c r="AD38" s="2332">
        <f>IF(T24&gt;=(T23+Y23+AD23+AI23),AD28+AI28,0)</f>
        <v>53000000</v>
      </c>
      <c r="AE38" s="2332"/>
      <c r="AF38" s="2332"/>
      <c r="AG38" s="2332"/>
      <c r="AH38" s="2332"/>
    </row>
    <row r="39" spans="1:76" ht="12.95" customHeight="1">
      <c r="B39" s="2338" t="s">
        <v>1690</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641</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617660</v>
      </c>
      <c r="Z40" s="2332"/>
      <c r="AA40" s="2332"/>
      <c r="AB40" s="2332"/>
      <c r="AC40" s="2332"/>
      <c r="AD40" s="2351">
        <f>ROUND(AD38*AD39,0)</f>
        <v>2120000</v>
      </c>
      <c r="AE40" s="2332"/>
      <c r="AF40" s="2332"/>
      <c r="AG40" s="2332"/>
      <c r="AH40" s="2332"/>
    </row>
    <row r="41" spans="1:76" ht="12.95" customHeight="1">
      <c r="B41" s="2338" t="s">
        <v>642</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2737660</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1275</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585</v>
      </c>
      <c r="C46" s="404" t="s">
        <v>282</v>
      </c>
    </row>
    <row r="47" spans="1:76" ht="12.95" customHeight="1">
      <c r="D47" s="404" t="s">
        <v>283</v>
      </c>
      <c r="AB47" s="2346">
        <f>'Sources and Uses Budget'!B105-MAX(IF('Sources and Uses Budget'!B15="",0,'Sources and Uses Budget'!B15),IF(Application!AG394="",0,Application!AG394))</f>
        <v>66914618</v>
      </c>
      <c r="AC47" s="2347"/>
      <c r="AD47" s="2347"/>
      <c r="AE47" s="2347"/>
      <c r="AF47" s="2348"/>
    </row>
    <row r="48" spans="1:76" ht="12.95" customHeight="1">
      <c r="D48" s="404" t="s">
        <v>21</v>
      </c>
      <c r="AB48" s="2346">
        <f>Application!AO639-MAX(IF('Sources and Uses Budget'!B15="",0,'Sources and Uses Budget'!B15),IF(Application!AG394="",0,Application!AG394))</f>
        <v>42823210</v>
      </c>
      <c r="AC48" s="2347"/>
      <c r="AD48" s="2347"/>
      <c r="AE48" s="2347"/>
      <c r="AF48" s="2348"/>
    </row>
    <row r="49" spans="1:76" ht="12.95" customHeight="1">
      <c r="D49" s="404" t="s">
        <v>91</v>
      </c>
      <c r="AB49" s="2346">
        <f>AB47-AB48</f>
        <v>24091408</v>
      </c>
      <c r="AC49" s="2347"/>
      <c r="AD49" s="2347"/>
      <c r="AE49" s="2347"/>
      <c r="AF49" s="2348"/>
    </row>
    <row r="50" spans="1:76" ht="12.95" customHeight="1">
      <c r="D50" s="404" t="s">
        <v>680</v>
      </c>
      <c r="AA50" s="415"/>
      <c r="AB50" s="2334">
        <v>0.88</v>
      </c>
      <c r="AC50" s="2335"/>
      <c r="AD50" s="2335"/>
      <c r="AE50" s="2335"/>
      <c r="AF50" s="2336"/>
    </row>
    <row r="51" spans="1:76" s="417" customFormat="1" ht="12.95" customHeight="1">
      <c r="A51" s="402"/>
      <c r="B51" s="402"/>
      <c r="C51" s="402"/>
      <c r="D51" s="402"/>
      <c r="E51" s="2345" t="s">
        <v>2610</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6">
        <f>ROUND(IF(ISERROR((AB49/AB50)),0,(AB49/AB50)),0)</f>
        <v>27376600</v>
      </c>
      <c r="AC54" s="2347"/>
      <c r="AD54" s="2347"/>
      <c r="AE54" s="2347"/>
      <c r="AF54" s="2348"/>
    </row>
    <row r="55" spans="1:76" ht="12.95" customHeight="1">
      <c r="D55" s="404" t="s">
        <v>333</v>
      </c>
      <c r="AB55" s="2346">
        <f>(AB54/10)</f>
        <v>2737660</v>
      </c>
      <c r="AC55" s="2347"/>
      <c r="AD55" s="2347"/>
      <c r="AE55" s="2347"/>
      <c r="AF55" s="2348"/>
    </row>
    <row r="56" spans="1:76" ht="12.95" customHeight="1">
      <c r="D56" s="404" t="s">
        <v>755</v>
      </c>
      <c r="AB56" s="2346">
        <f>ROUND((IF((Y41&lt;AB55),Y41,AB55)),0)</f>
        <v>2737660</v>
      </c>
      <c r="AC56" s="2347"/>
      <c r="AD56" s="2347"/>
      <c r="AE56" s="2347"/>
      <c r="AF56" s="2348"/>
    </row>
    <row r="57" spans="1:76" ht="12.95" customHeight="1">
      <c r="D57" s="404" t="s">
        <v>754</v>
      </c>
      <c r="AB57" s="2346">
        <f>ROUND((10*AB56*AB50),0)</f>
        <v>24091408</v>
      </c>
      <c r="AC57" s="2347"/>
      <c r="AD57" s="2347"/>
      <c r="AE57" s="2347"/>
      <c r="AF57" s="2348"/>
    </row>
    <row r="58" spans="1:76" ht="12.95" customHeight="1">
      <c r="D58" s="404"/>
      <c r="AB58" s="423"/>
      <c r="AC58" s="423"/>
      <c r="AD58" s="423"/>
      <c r="AE58" s="423"/>
      <c r="AF58" s="423"/>
    </row>
    <row r="59" spans="1:76" ht="12.95" customHeight="1">
      <c r="D59" s="404" t="s">
        <v>753</v>
      </c>
      <c r="AB59" s="2330">
        <f>AB49-AB57</f>
        <v>0</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588</v>
      </c>
      <c r="C63" s="205" t="s">
        <v>1247</v>
      </c>
      <c r="Y63" s="2341" t="s">
        <v>983</v>
      </c>
      <c r="Z63" s="2341"/>
      <c r="AA63" s="2341"/>
      <c r="AB63" s="2341"/>
      <c r="AC63" s="2341"/>
      <c r="AD63" s="2341" t="s">
        <v>369</v>
      </c>
      <c r="AE63" s="2341"/>
      <c r="AF63" s="2341"/>
      <c r="AG63" s="2341"/>
      <c r="AH63" s="2341"/>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0</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1">
        <f>IF(OR(Application!Z205="State Farmworker Credit",Application!Z205="$500M (Farmworker Housing)"),0.75,IF(Application!Z205="15% set-aside",0.13,IF(Application!Z205="15% set-aside with qualifying low value rehab",0.95,IF(Application!Z205="$500M",0.3,0))))</f>
        <v>0</v>
      </c>
      <c r="Z67" s="2331"/>
      <c r="AA67" s="2331"/>
      <c r="AB67" s="2331"/>
      <c r="AC67" s="2331"/>
      <c r="AD67" s="2331">
        <f>IF(Application!Z205="15% set-aside with qualifying low value rehab", 0.95,IF(OR(Application!D211="At-Risk",'Points System'!B13="Yes"),0.13,0))</f>
        <v>0</v>
      </c>
      <c r="AE67" s="2331"/>
      <c r="AF67" s="2331"/>
      <c r="AG67" s="2331"/>
      <c r="AH67" s="2331"/>
    </row>
    <row r="68" spans="1:36" ht="12.95" customHeight="1">
      <c r="C68" s="404"/>
      <c r="D68" s="205" t="s">
        <v>2223</v>
      </c>
      <c r="Y68" s="2332">
        <f>ROUND(Y64*Y67,0)</f>
        <v>0</v>
      </c>
      <c r="Z68" s="2333"/>
      <c r="AA68" s="2333"/>
      <c r="AB68" s="2333"/>
      <c r="AC68" s="2333"/>
      <c r="AD68" s="2332">
        <f>ROUND(AD64*AD67,0)</f>
        <v>0</v>
      </c>
      <c r="AE68" s="2333"/>
      <c r="AF68" s="2333"/>
      <c r="AG68" s="2333"/>
      <c r="AH68" s="2333"/>
    </row>
    <row r="69" spans="1:36" ht="12.95" customHeight="1">
      <c r="C69" s="404"/>
      <c r="D69" s="205" t="s">
        <v>2224</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589</v>
      </c>
      <c r="C71" s="205" t="s">
        <v>284</v>
      </c>
    </row>
    <row r="72" spans="1:36" ht="12.95" customHeight="1">
      <c r="A72" s="404"/>
      <c r="C72" s="404"/>
      <c r="D72" s="205" t="s">
        <v>1249</v>
      </c>
      <c r="AB72" s="2334"/>
      <c r="AC72" s="2335"/>
      <c r="AD72" s="2335"/>
      <c r="AE72" s="2335"/>
      <c r="AF72" s="2336"/>
    </row>
    <row r="73" spans="1:36" ht="12.95" customHeight="1">
      <c r="A73" s="404"/>
      <c r="C73" s="404"/>
      <c r="D73" s="404"/>
      <c r="E73" s="2337" t="s">
        <v>1250</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25">
        <f>ROUND(IF(ISERROR((AB59/AB72)),0,(AB59/AB72)),0)</f>
        <v>0</v>
      </c>
      <c r="AC77" s="2325"/>
      <c r="AD77" s="2325"/>
      <c r="AE77" s="2325"/>
      <c r="AF77" s="2325"/>
    </row>
    <row r="78" spans="1:36" ht="12.95" customHeight="1">
      <c r="C78" s="404"/>
      <c r="D78" s="205" t="s">
        <v>1252</v>
      </c>
      <c r="AB78" s="2326">
        <f>ROUNDUP(MIN(Y69,AB77),0)</f>
        <v>0</v>
      </c>
      <c r="AC78" s="2327"/>
      <c r="AD78" s="2327"/>
      <c r="AE78" s="2327"/>
      <c r="AF78" s="2328"/>
    </row>
    <row r="79" spans="1:36" ht="12.95" customHeight="1">
      <c r="C79" s="404"/>
      <c r="D79" s="205" t="s">
        <v>1253</v>
      </c>
      <c r="AB79" s="2329">
        <f>AB78*AB72</f>
        <v>0</v>
      </c>
      <c r="AC79" s="2329"/>
      <c r="AD79" s="2329"/>
      <c r="AE79" s="2329"/>
      <c r="AF79" s="2329"/>
    </row>
    <row r="80" spans="1:36" ht="12.95" customHeight="1">
      <c r="C80" s="404"/>
      <c r="D80" s="404"/>
      <c r="AB80" s="425"/>
      <c r="AC80" s="425"/>
      <c r="AD80" s="425"/>
      <c r="AE80" s="425"/>
      <c r="AF80" s="425"/>
    </row>
    <row r="81" spans="1:78" ht="12.95" customHeight="1">
      <c r="D81" s="404" t="s">
        <v>753</v>
      </c>
      <c r="AB81" s="2330">
        <f>AB49-(AB57+AB79)</f>
        <v>0</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2" workbookViewId="0">
      <selection activeCell="J128" sqref="J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3" t="s">
        <v>1299</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1304</v>
      </c>
      <c r="AF7" s="2404"/>
      <c r="AG7" s="2404"/>
      <c r="AH7" s="2404"/>
      <c r="AI7" s="2404"/>
      <c r="AJ7" s="2404"/>
      <c r="AK7" s="2404"/>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590</v>
      </c>
      <c r="C13" s="2394"/>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590</v>
      </c>
      <c r="C16" s="2394"/>
      <c r="D16" s="547"/>
      <c r="E16" s="2405" t="s">
        <v>1306</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590</v>
      </c>
      <c r="C22" s="2394"/>
      <c r="D22" s="547"/>
      <c r="E22" s="2430" t="s">
        <v>1309</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590</v>
      </c>
      <c r="C25" s="2394"/>
      <c r="D25" s="547"/>
      <c r="E25" s="2395" t="s">
        <v>2032</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590</v>
      </c>
      <c r="C28" s="2394"/>
      <c r="D28" s="547"/>
      <c r="E28" s="2418" t="s">
        <v>2247</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1307</v>
      </c>
    </row>
    <row r="33" spans="1:41" s="536" customFormat="1" ht="12.75" customHeight="1">
      <c r="A33" s="540"/>
      <c r="B33" s="2394" t="s">
        <v>590</v>
      </c>
      <c r="C33" s="2394"/>
      <c r="D33" s="547"/>
      <c r="E33" s="2430" t="s">
        <v>2249</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590</v>
      </c>
      <c r="C36" s="2394"/>
      <c r="D36" s="547"/>
      <c r="E36" s="2395" t="s">
        <v>2250</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4" t="s">
        <v>590</v>
      </c>
      <c r="C40" s="2394"/>
      <c r="D40" s="547"/>
      <c r="E40" s="2395" t="s">
        <v>2248</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590</v>
      </c>
      <c r="C45" s="2394"/>
      <c r="D45" s="1142"/>
      <c r="E45" s="2395" t="s">
        <v>2007</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544</v>
      </c>
      <c r="C52" s="2394"/>
      <c r="D52" s="540"/>
      <c r="E52" s="2395" t="s">
        <v>2012</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544</v>
      </c>
      <c r="C56" s="2394"/>
      <c r="D56" s="540"/>
      <c r="E56" s="2415" t="s">
        <v>2013</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544</v>
      </c>
      <c r="C58" s="2394"/>
      <c r="D58" s="540"/>
      <c r="E58" s="2395" t="s">
        <v>2014</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27">
        <f>AO39</f>
        <v>20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1313</v>
      </c>
      <c r="AF65" s="2404"/>
      <c r="AG65" s="2404"/>
      <c r="AH65" s="2404"/>
      <c r="AI65" s="2404"/>
      <c r="AJ65" s="2404"/>
      <c r="AK65" s="2404"/>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590</v>
      </c>
      <c r="C68" s="2394"/>
      <c r="D68" s="547" t="s">
        <v>1314</v>
      </c>
      <c r="E68" s="2405" t="s">
        <v>2015</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0</v>
      </c>
      <c r="AP71" s="574" t="s">
        <v>1315</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590</v>
      </c>
      <c r="C74" s="2394"/>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590</v>
      </c>
      <c r="F75" s="2394"/>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590</v>
      </c>
      <c r="F76" s="2393"/>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590</v>
      </c>
      <c r="F77" s="2393"/>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590</v>
      </c>
      <c r="F79" s="2394"/>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590</v>
      </c>
      <c r="C81" s="2394"/>
      <c r="D81" s="547" t="s">
        <v>1319</v>
      </c>
      <c r="E81" s="2395" t="s">
        <v>1739</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27">
        <f>IF(AK62&gt;0,0,AO71)</f>
        <v>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1304</v>
      </c>
      <c r="AF87" s="2404"/>
      <c r="AG87" s="2404"/>
      <c r="AH87" s="2404"/>
      <c r="AI87" s="2404"/>
      <c r="AJ87" s="2404"/>
      <c r="AK87" s="2404"/>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590</v>
      </c>
      <c r="C90" s="2394"/>
      <c r="D90" s="547" t="s">
        <v>1314</v>
      </c>
      <c r="E90" s="2405" t="s">
        <v>1324</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0.45102040816326527</v>
      </c>
      <c r="F93" s="2389"/>
      <c r="G93" s="2389"/>
      <c r="H93" s="2389"/>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0.13999999999999996</v>
      </c>
      <c r="F94" s="2391"/>
      <c r="G94" s="2391"/>
      <c r="H94" s="2391"/>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20</v>
      </c>
      <c r="F95" s="2422"/>
      <c r="G95" s="2422"/>
      <c r="H95" s="2422"/>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544</v>
      </c>
      <c r="C98" s="2394"/>
      <c r="D98" s="547" t="s">
        <v>1316</v>
      </c>
      <c r="E98" s="2405" t="s">
        <v>1724</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0.45102040816326527</v>
      </c>
      <c r="F103" s="2389"/>
      <c r="G103" s="2389"/>
      <c r="H103" s="2389"/>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0.49659863945578231</v>
      </c>
      <c r="F104" s="2389"/>
      <c r="G104" s="2389"/>
      <c r="H104" s="2389"/>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v>
      </c>
      <c r="F105" s="2389"/>
      <c r="G105" s="2389"/>
      <c r="H105" s="2389"/>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1313</v>
      </c>
      <c r="AF112" s="2404"/>
      <c r="AG112" s="2404"/>
      <c r="AH112" s="2404"/>
      <c r="AI112" s="2404"/>
      <c r="AJ112" s="2404"/>
      <c r="AK112" s="2404"/>
      <c r="AL112" s="540"/>
      <c r="AM112" s="540"/>
      <c r="AN112" s="535"/>
      <c r="AO112" s="536" t="str">
        <f>Application!B718</f>
        <v>SRO/Studio</v>
      </c>
      <c r="AQ112" s="536">
        <f>Application!O718</f>
        <v>509</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868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1591</v>
      </c>
    </row>
    <row r="115" spans="1:52" s="536" customFormat="1" ht="12.75" customHeight="1">
      <c r="A115" s="540"/>
      <c r="B115" s="2394" t="s">
        <v>544</v>
      </c>
      <c r="C115" s="2394"/>
      <c r="D115" s="547" t="s">
        <v>1314</v>
      </c>
      <c r="E115" s="2405" t="s">
        <v>1856</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t="str">
        <f>Application!B721</f>
        <v>1 Bedroom</v>
      </c>
      <c r="AQ115" s="536">
        <f>Application!O721</f>
        <v>670</v>
      </c>
      <c r="AU115" s="536" t="s">
        <v>1839</v>
      </c>
      <c r="AV115" s="595" t="s">
        <v>1840</v>
      </c>
      <c r="AW115" s="536" t="s">
        <v>1841</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t="str">
        <f>Application!B722</f>
        <v>1 Bedroom</v>
      </c>
      <c r="AQ116" s="536">
        <f>Application!O722</f>
        <v>930</v>
      </c>
      <c r="AU116" s="856" t="str">
        <f>E124</f>
        <v>Studio/SRO</v>
      </c>
      <c r="AV116" s="536">
        <f t="array" ref="AV116">SUM(IF(Application!B718:F752="SRO/Studio",Application!G718:J752))</f>
        <v>99</v>
      </c>
      <c r="AW116" s="1011">
        <f>AV116/AV122</f>
        <v>0.67346938775510201</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t="str">
        <f>Application!B723</f>
        <v>1 Bedroom</v>
      </c>
      <c r="AQ117" s="536">
        <f>Application!O723</f>
        <v>1704</v>
      </c>
      <c r="AU117" s="856" t="str">
        <f>J124</f>
        <v>1-bedroom</v>
      </c>
      <c r="AV117" s="536">
        <f t="array" ref="AV117">SUM(IF(Application!B718:F752="1 Bedroom",Application!G718:J752))</f>
        <v>48</v>
      </c>
      <c r="AW117" s="1011">
        <f>AV117/AV122</f>
        <v>0.32653061224489793</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147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1587</v>
      </c>
      <c r="F124" s="2389"/>
      <c r="G124" s="2389"/>
      <c r="H124" s="2389"/>
      <c r="I124" s="577"/>
      <c r="J124" s="2389" t="s">
        <v>1630</v>
      </c>
      <c r="K124" s="2389"/>
      <c r="L124" s="2389"/>
      <c r="M124" s="2389"/>
      <c r="N124" s="577"/>
      <c r="O124" s="2389" t="s">
        <v>1631</v>
      </c>
      <c r="P124" s="2389"/>
      <c r="Q124" s="2389"/>
      <c r="R124" s="2389"/>
      <c r="S124" s="577"/>
      <c r="T124" s="2389" t="s">
        <v>1333</v>
      </c>
      <c r="U124" s="2389"/>
      <c r="V124" s="2389"/>
      <c r="W124" s="2389"/>
      <c r="X124" s="577"/>
      <c r="Y124" s="2389" t="s">
        <v>1632</v>
      </c>
      <c r="Z124" s="2389"/>
      <c r="AA124" s="2389"/>
      <c r="AB124" s="2389"/>
      <c r="AC124" s="577"/>
      <c r="AD124" s="2389" t="s">
        <v>1633</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v>2370</v>
      </c>
      <c r="F127" s="2449"/>
      <c r="G127" s="2449"/>
      <c r="H127" s="2449"/>
      <c r="I127" s="864"/>
      <c r="J127" s="2449">
        <v>2815</v>
      </c>
      <c r="K127" s="2449"/>
      <c r="L127" s="2449"/>
      <c r="M127" s="2449"/>
      <c r="N127" s="864"/>
      <c r="O127" s="2449"/>
      <c r="P127" s="2449"/>
      <c r="Q127" s="2449"/>
      <c r="R127" s="2449"/>
      <c r="S127" s="864"/>
      <c r="T127" s="2449"/>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1207.7676767676767</v>
      </c>
      <c r="F130" s="2442"/>
      <c r="G130" s="2442"/>
      <c r="H130" s="2442"/>
      <c r="I130" s="864"/>
      <c r="J130" s="2442">
        <f>Application!EC670</f>
        <v>1219.5</v>
      </c>
      <c r="K130" s="2442"/>
      <c r="L130" s="2442"/>
      <c r="M130" s="2442"/>
      <c r="N130" s="864"/>
      <c r="O130" s="2442">
        <f>Application!EH670</f>
        <v>0</v>
      </c>
      <c r="P130" s="2442"/>
      <c r="Q130" s="2442"/>
      <c r="R130" s="2442"/>
      <c r="S130" s="868"/>
      <c r="T130" s="2442">
        <f>Application!EM670</f>
        <v>0</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f>(E127-E130)/E127</f>
        <v>0.49039338533009424</v>
      </c>
      <c r="F133" s="2391"/>
      <c r="G133" s="2391"/>
      <c r="H133" s="2641"/>
      <c r="I133" s="577"/>
      <c r="J133" s="2640">
        <f>(J127-J130)/J127</f>
        <v>0.566785079928952</v>
      </c>
      <c r="K133" s="2391"/>
      <c r="L133" s="2391"/>
      <c r="M133" s="2641"/>
      <c r="N133" s="577"/>
      <c r="O133" s="2640" t="e">
        <f>(O127-O130)/O127</f>
        <v>#DIV/0!</v>
      </c>
      <c r="P133" s="2391"/>
      <c r="Q133" s="2391"/>
      <c r="R133" s="2641"/>
      <c r="S133" s="577"/>
      <c r="T133" s="2640" t="e">
        <f>(T127-T130)/T127</f>
        <v>#DIV/0!</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f>IF(((E133-0.1)*AW116)&gt;0,((E133-0.1)*AW116),0)</f>
        <v>0.26291799420190021</v>
      </c>
      <c r="F136" s="2444"/>
      <c r="G136" s="2444"/>
      <c r="H136" s="2445"/>
      <c r="I136" s="577"/>
      <c r="J136" s="2443">
        <f>IF(((J133-0.1)*AW117)&gt;0,((J133-0.1)*AW117),0)</f>
        <v>0.15241961793598433</v>
      </c>
      <c r="K136" s="2444"/>
      <c r="L136" s="2444"/>
      <c r="M136" s="2445"/>
      <c r="N136" s="577"/>
      <c r="O136" s="2443" t="e">
        <f>IF(((O133-0.1)*AW118)&gt;0,((O133-0.1)*AW118),0)</f>
        <v>#DIV/0!</v>
      </c>
      <c r="P136" s="2444"/>
      <c r="Q136" s="2444"/>
      <c r="R136" s="2445"/>
      <c r="S136" s="577"/>
      <c r="T136" s="2443" t="e">
        <f>IF(((T133-0.1)*AW119)&gt;0,((T133-0.1)*AW119),0)</f>
        <v>#DIV/0!</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0.41</v>
      </c>
      <c r="F138" s="2391"/>
      <c r="G138" s="2391"/>
      <c r="H138" s="2641"/>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4" t="s">
        <v>1313</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1337</v>
      </c>
      <c r="AG148" s="2439"/>
      <c r="AH148" s="2439"/>
      <c r="AI148" s="2439"/>
      <c r="AJ148" s="2439"/>
      <c r="AK148" s="2439"/>
      <c r="AL148" s="2439"/>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tr">
        <f>+Application!M243</f>
        <v>Hearthstone Green Manor, LLC (By: Heathstone Housing Foundation, its sole member)</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66" t="s">
        <v>1340</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67" t="s">
        <v>590</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66" t="s">
        <v>1342</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2474</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2475</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2473</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590</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1351</v>
      </c>
      <c r="AG168" s="2439"/>
      <c r="AH168" s="2439"/>
      <c r="AI168" s="2439"/>
      <c r="AJ168" s="2439"/>
      <c r="AK168" s="2439"/>
      <c r="AL168" s="2439"/>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1349</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590</v>
      </c>
      <c r="AG172" s="2467"/>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66" t="s">
        <v>1342</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68" t="str">
        <f>Application!AA335</f>
        <v>Royal Property Management Group</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1313</v>
      </c>
      <c r="AF186" s="2404"/>
      <c r="AG186" s="2404"/>
      <c r="AH186" s="2404"/>
      <c r="AI186" s="2404"/>
      <c r="AJ186" s="2404"/>
      <c r="AK186" s="2404"/>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4" t="s">
        <v>1359</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1362</v>
      </c>
      <c r="AG188" s="2439"/>
      <c r="AH188" s="2439"/>
      <c r="AI188" s="2439"/>
      <c r="AJ188" s="2439"/>
      <c r="AK188" s="2439"/>
      <c r="AL188" s="2439"/>
      <c r="AN188" s="597"/>
      <c r="AP188" s="550" t="s">
        <v>1042</v>
      </c>
      <c r="AQ188" s="550">
        <v>10</v>
      </c>
    </row>
    <row r="189" spans="1:73" s="550" customFormat="1" ht="12.75" customHeight="1">
      <c r="A189" s="536"/>
      <c r="B189" s="2465" t="s">
        <v>1725</v>
      </c>
      <c r="C189" s="2465"/>
      <c r="D189" s="2465"/>
      <c r="E189" s="2465"/>
      <c r="F189" s="2465"/>
      <c r="G189" s="2465"/>
      <c r="H189" s="2465"/>
      <c r="I189" s="2465"/>
      <c r="J189" s="2465"/>
      <c r="K189" s="2465"/>
      <c r="L189" s="2465"/>
      <c r="M189" s="2465"/>
      <c r="N189" s="2465"/>
      <c r="O189" s="2465"/>
      <c r="P189" s="2465"/>
      <c r="Q189" s="2465"/>
      <c r="R189" s="2465"/>
      <c r="S189" s="2465"/>
      <c r="T189" s="2440" t="s">
        <v>590</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4">
        <f>IF(AK84&gt;0,VLOOKUP($B$188,AP185:AQ191,2,FALSE),0)</f>
        <v>0</v>
      </c>
      <c r="AL191" s="2475"/>
      <c r="AM191" s="2476"/>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1371</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2718</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f>+Application!AM555</f>
        <v>5500000</v>
      </c>
      <c r="AE199" s="2452"/>
      <c r="AF199" s="2452"/>
      <c r="AG199" s="2452"/>
      <c r="AH199" s="2452"/>
      <c r="AI199" s="2452"/>
      <c r="AJ199" s="2452"/>
      <c r="AK199" s="610"/>
    </row>
    <row r="200" spans="1:40">
      <c r="A200" s="605"/>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1626</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31272318.664234374</v>
      </c>
      <c r="AE209" s="2481"/>
      <c r="AF209" s="2481"/>
      <c r="AG209" s="2481"/>
      <c r="AH209" s="2481"/>
      <c r="AI209" s="2481"/>
      <c r="AJ209" s="2481"/>
      <c r="AK209" s="610"/>
    </row>
    <row r="210" spans="1:37">
      <c r="A210" s="605"/>
      <c r="B210" s="2608" t="s">
        <v>1589</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86">
        <f>SUM(AD199:AJ209)-AD210</f>
        <v>36772318.66423437</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1606</v>
      </c>
      <c r="J222" s="2455"/>
      <c r="K222" s="2455"/>
      <c r="L222" s="536"/>
      <c r="M222" s="536"/>
      <c r="N222" s="536"/>
      <c r="O222" s="536"/>
      <c r="P222" s="536"/>
      <c r="Q222" s="536"/>
      <c r="R222" s="536"/>
      <c r="S222" s="536"/>
      <c r="T222" s="2643" t="s">
        <v>1600</v>
      </c>
      <c r="U222" s="2643"/>
      <c r="V222" s="2643"/>
      <c r="W222" s="2643"/>
      <c r="X222" s="2643"/>
      <c r="Y222" s="2643"/>
      <c r="Z222" s="849"/>
      <c r="AA222" s="489"/>
      <c r="AB222" s="2450" t="s">
        <v>1601</v>
      </c>
      <c r="AC222" s="2450"/>
      <c r="AD222" s="2450"/>
      <c r="AE222" s="2450"/>
      <c r="AF222" s="2450"/>
      <c r="AG222" s="2450"/>
      <c r="AH222" s="827"/>
      <c r="AI222" s="827"/>
      <c r="AJ222" s="827"/>
      <c r="AK222" s="610"/>
    </row>
    <row r="223" spans="1:37">
      <c r="A223" s="605"/>
      <c r="B223" s="2453" t="s">
        <v>1586</v>
      </c>
      <c r="C223" s="2453"/>
      <c r="D223" s="2453"/>
      <c r="E223" s="2453"/>
      <c r="F223" s="2453"/>
      <c r="G223" s="2453"/>
      <c r="I223" s="2454" t="s">
        <v>1607</v>
      </c>
      <c r="J223" s="2454"/>
      <c r="K223" s="2454"/>
      <c r="L223" s="1008"/>
      <c r="N223" s="2460" t="s">
        <v>1602</v>
      </c>
      <c r="O223" s="2460"/>
      <c r="P223" s="2460"/>
      <c r="Q223" s="2460"/>
      <c r="R223" s="2460"/>
      <c r="T223" s="2460" t="s">
        <v>1603</v>
      </c>
      <c r="U223" s="2460"/>
      <c r="V223" s="2460"/>
      <c r="W223" s="2460"/>
      <c r="X223" s="2460"/>
      <c r="Y223" s="2460"/>
      <c r="Z223" s="850"/>
      <c r="AA223" s="489"/>
      <c r="AB223" s="2597" t="s">
        <v>1604</v>
      </c>
      <c r="AC223" s="2597"/>
      <c r="AD223" s="2597"/>
      <c r="AE223" s="2597"/>
      <c r="AF223" s="2597"/>
      <c r="AG223" s="2597"/>
      <c r="AH223" s="827"/>
      <c r="AI223" s="827"/>
      <c r="AJ223" s="827"/>
      <c r="AK223" s="610"/>
    </row>
    <row r="224" spans="1:37">
      <c r="A224" s="605"/>
      <c r="B224" s="2457" t="s">
        <v>324</v>
      </c>
      <c r="C224" s="2457"/>
      <c r="D224" s="2457"/>
      <c r="E224" s="2457"/>
      <c r="F224" s="2457"/>
      <c r="G224" s="2457"/>
      <c r="H224" s="852"/>
      <c r="I224" s="2456">
        <f>+Application!G718</f>
        <v>7</v>
      </c>
      <c r="J224" s="2456"/>
      <c r="K224" s="2456"/>
      <c r="L224" s="1008"/>
      <c r="N224" s="2461">
        <f>+Application!O718</f>
        <v>509</v>
      </c>
      <c r="O224" s="2461"/>
      <c r="P224" s="2461"/>
      <c r="Q224" s="2461"/>
      <c r="R224" s="2461"/>
      <c r="T224" s="2609">
        <f>+'Subsidy Contract Calculation'!F4</f>
        <v>0</v>
      </c>
      <c r="U224" s="2609"/>
      <c r="V224" s="2609"/>
      <c r="W224" s="2609"/>
      <c r="X224" s="2609"/>
      <c r="Y224" s="2609"/>
      <c r="Z224" s="851"/>
      <c r="AA224" s="851"/>
      <c r="AB224" s="2458">
        <f t="shared" ref="AB224:AB233" si="0">MAX(($T224-$N224)*$I224*12,0)</f>
        <v>0</v>
      </c>
      <c r="AC224" s="2458"/>
      <c r="AD224" s="2458"/>
      <c r="AE224" s="2458"/>
      <c r="AF224" s="2458"/>
      <c r="AG224" s="2458"/>
      <c r="AH224" s="827"/>
      <c r="AI224" s="827"/>
      <c r="AJ224" s="827"/>
      <c r="AK224" s="610"/>
    </row>
    <row r="225" spans="1:37">
      <c r="A225" s="605"/>
      <c r="B225" s="2457" t="s">
        <v>324</v>
      </c>
      <c r="C225" s="2457"/>
      <c r="D225" s="2457"/>
      <c r="E225" s="2457"/>
      <c r="F225" s="2457"/>
      <c r="G225" s="2457"/>
      <c r="I225" s="2456">
        <f>+Application!G719</f>
        <v>42</v>
      </c>
      <c r="J225" s="2456"/>
      <c r="K225" s="2456"/>
      <c r="L225" s="1008"/>
      <c r="N225" s="2461">
        <f>+Application!O719</f>
        <v>868</v>
      </c>
      <c r="O225" s="2461"/>
      <c r="P225" s="2461"/>
      <c r="Q225" s="2461"/>
      <c r="R225" s="2461"/>
      <c r="T225" s="2609">
        <f>+'Subsidy Contract Calculation'!F5</f>
        <v>2370</v>
      </c>
      <c r="U225" s="2609"/>
      <c r="V225" s="2609"/>
      <c r="W225" s="2609"/>
      <c r="X225" s="2609"/>
      <c r="Y225" s="2609"/>
      <c r="Z225" s="851"/>
      <c r="AA225" s="851"/>
      <c r="AB225" s="2458">
        <f t="shared" si="0"/>
        <v>757008</v>
      </c>
      <c r="AC225" s="2458"/>
      <c r="AD225" s="2458"/>
      <c r="AE225" s="2458"/>
      <c r="AF225" s="2458"/>
      <c r="AG225" s="2458"/>
      <c r="AH225" s="827"/>
      <c r="AI225" s="827"/>
      <c r="AJ225" s="827"/>
      <c r="AK225" s="610"/>
    </row>
    <row r="226" spans="1:37">
      <c r="A226" s="605"/>
      <c r="B226" s="2457" t="s">
        <v>324</v>
      </c>
      <c r="C226" s="2457"/>
      <c r="D226" s="2457"/>
      <c r="E226" s="2457"/>
      <c r="F226" s="2457"/>
      <c r="G226" s="2457"/>
      <c r="I226" s="2456">
        <f>+Application!G720</f>
        <v>50</v>
      </c>
      <c r="J226" s="2456"/>
      <c r="K226" s="2456"/>
      <c r="L226" s="1008"/>
      <c r="N226" s="2461">
        <f>+Application!O720</f>
        <v>1591</v>
      </c>
      <c r="O226" s="2461"/>
      <c r="P226" s="2461"/>
      <c r="Q226" s="2461"/>
      <c r="R226" s="2461"/>
      <c r="T226" s="2609">
        <f>+'Subsidy Contract Calculation'!F6</f>
        <v>2370</v>
      </c>
      <c r="U226" s="2609"/>
      <c r="V226" s="2609"/>
      <c r="W226" s="2609"/>
      <c r="X226" s="2609"/>
      <c r="Y226" s="2609"/>
      <c r="Z226" s="851"/>
      <c r="AA226" s="851"/>
      <c r="AB226" s="2458">
        <f t="shared" si="0"/>
        <v>467400</v>
      </c>
      <c r="AC226" s="2458"/>
      <c r="AD226" s="2458"/>
      <c r="AE226" s="2458"/>
      <c r="AF226" s="2458"/>
      <c r="AG226" s="2458"/>
      <c r="AH226" s="827"/>
      <c r="AI226" s="827"/>
      <c r="AJ226" s="827"/>
      <c r="AK226" s="610"/>
    </row>
    <row r="227" spans="1:37">
      <c r="A227" s="605"/>
      <c r="B227" s="2457" t="s">
        <v>2719</v>
      </c>
      <c r="C227" s="2457"/>
      <c r="D227" s="2457"/>
      <c r="E227" s="2457"/>
      <c r="F227" s="2457"/>
      <c r="G227" s="2457"/>
      <c r="I227" s="2456">
        <f>+Application!G721</f>
        <v>18</v>
      </c>
      <c r="J227" s="2456"/>
      <c r="K227" s="2456"/>
      <c r="L227" s="1008"/>
      <c r="N227" s="2461">
        <f>+Application!O721</f>
        <v>670</v>
      </c>
      <c r="O227" s="2461"/>
      <c r="P227" s="2461"/>
      <c r="Q227" s="2461"/>
      <c r="R227" s="2461"/>
      <c r="T227" s="2609">
        <f>+'Subsidy Contract Calculation'!F7</f>
        <v>0</v>
      </c>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2719</v>
      </c>
      <c r="C228" s="2457"/>
      <c r="D228" s="2457"/>
      <c r="E228" s="2457"/>
      <c r="F228" s="2457"/>
      <c r="G228" s="2457"/>
      <c r="I228" s="2456">
        <f>+Application!G722</f>
        <v>6</v>
      </c>
      <c r="J228" s="2456"/>
      <c r="K228" s="2456"/>
      <c r="L228" s="1015"/>
      <c r="N228" s="2461">
        <f>+Application!O722</f>
        <v>930</v>
      </c>
      <c r="O228" s="2461"/>
      <c r="P228" s="2461"/>
      <c r="Q228" s="2461"/>
      <c r="R228" s="2461"/>
      <c r="T228" s="2609">
        <f>+'Subsidy Contract Calculation'!F8</f>
        <v>2815</v>
      </c>
      <c r="U228" s="2609"/>
      <c r="V228" s="2609"/>
      <c r="W228" s="2609"/>
      <c r="X228" s="2609"/>
      <c r="Y228" s="2609"/>
      <c r="Z228" s="851"/>
      <c r="AA228" s="851"/>
      <c r="AB228" s="2458">
        <f t="shared" si="0"/>
        <v>135720</v>
      </c>
      <c r="AC228" s="2458"/>
      <c r="AD228" s="2458"/>
      <c r="AE228" s="2458"/>
      <c r="AF228" s="2458"/>
      <c r="AG228" s="2458"/>
      <c r="AH228" s="827"/>
      <c r="AI228" s="827"/>
      <c r="AJ228" s="827"/>
      <c r="AK228" s="610"/>
    </row>
    <row r="229" spans="1:37">
      <c r="A229" s="605"/>
      <c r="B229" s="2457" t="s">
        <v>2719</v>
      </c>
      <c r="C229" s="2457"/>
      <c r="D229" s="2457"/>
      <c r="E229" s="2457"/>
      <c r="F229" s="2457"/>
      <c r="G229" s="2457"/>
      <c r="I229" s="2456">
        <f>+Application!G723</f>
        <v>24</v>
      </c>
      <c r="J229" s="2456"/>
      <c r="K229" s="2456"/>
      <c r="L229" s="1015"/>
      <c r="N229" s="2461">
        <f>+Application!O723</f>
        <v>1704</v>
      </c>
      <c r="O229" s="2461"/>
      <c r="P229" s="2461"/>
      <c r="Q229" s="2461"/>
      <c r="R229" s="2461"/>
      <c r="T229" s="2609">
        <f>+'Subsidy Contract Calculation'!F9</f>
        <v>2815</v>
      </c>
      <c r="U229" s="2609"/>
      <c r="V229" s="2609"/>
      <c r="W229" s="2609"/>
      <c r="X229" s="2609"/>
      <c r="Y229" s="2609"/>
      <c r="Z229" s="851"/>
      <c r="AA229" s="851"/>
      <c r="AB229" s="2458">
        <f t="shared" si="0"/>
        <v>319968</v>
      </c>
      <c r="AC229" s="2458"/>
      <c r="AD229" s="2458"/>
      <c r="AE229" s="2458"/>
      <c r="AF229" s="2458"/>
      <c r="AG229" s="2458"/>
      <c r="AH229" s="827"/>
      <c r="AI229" s="827"/>
      <c r="AJ229" s="827"/>
      <c r="AK229" s="610"/>
    </row>
    <row r="230" spans="1:37">
      <c r="A230" s="605"/>
      <c r="B230" s="2457" t="s">
        <v>1183</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1183</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1183</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1183</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58">
        <f>SUM(AB224:AB233)</f>
        <v>1680096</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f>+'Subsidy Contract Calculation'!J40</f>
        <v>1680096</v>
      </c>
      <c r="AC240" s="2610"/>
      <c r="AD240" s="2610"/>
      <c r="AE240" s="2610"/>
      <c r="AF240" s="2610"/>
      <c r="AG240" s="2610"/>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1680096</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3360192</v>
      </c>
      <c r="AC250" s="2458"/>
      <c r="AD250" s="2458"/>
      <c r="AE250" s="2458"/>
      <c r="AF250" s="2458"/>
      <c r="AG250" s="2458"/>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3192182.4</v>
      </c>
      <c r="AC252" s="2491"/>
      <c r="AD252" s="2491"/>
      <c r="AE252" s="2491"/>
      <c r="AF252" s="2491"/>
      <c r="AG252" s="2491"/>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2775810.7826086958</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31272318.664234374</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36772318.66423437</v>
      </c>
      <c r="AH268" s="2477"/>
      <c r="AI268" s="2477"/>
      <c r="AJ268" s="2477"/>
      <c r="AK268" s="2477"/>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66914618</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0.54</v>
      </c>
      <c r="AH270" s="2478"/>
      <c r="AI270" s="2478"/>
      <c r="AJ270" s="2478"/>
      <c r="AK270" s="2478"/>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544</v>
      </c>
      <c r="D278" s="2471"/>
      <c r="E278" s="547"/>
      <c r="F278" s="2628" t="s">
        <v>2023</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1362</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1381</v>
      </c>
      <c r="B292" s="1627"/>
      <c r="C292" s="2467" t="s">
        <v>590</v>
      </c>
      <c r="D292" s="2471"/>
      <c r="E292" s="547"/>
      <c r="F292" s="2499" t="s">
        <v>1382</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2016</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3" t="s">
        <v>2024</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0</v>
      </c>
      <c r="AQ295" s="574" t="s">
        <v>1315</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1383</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1384</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1385</v>
      </c>
      <c r="B302" s="1627"/>
      <c r="C302" s="2471" t="s">
        <v>590</v>
      </c>
      <c r="D302" s="2471"/>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1" t="s">
        <v>2018</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1388</v>
      </c>
      <c r="B310" s="1627"/>
      <c r="C310" s="2471" t="s">
        <v>590</v>
      </c>
      <c r="D310" s="2471"/>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93" t="s">
        <v>2025</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1183</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1183</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09" t="s">
        <v>1183</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09" t="s">
        <v>1183</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7" t="s">
        <v>1391</v>
      </c>
      <c r="B333" s="1627"/>
      <c r="C333" s="2471" t="s">
        <v>590</v>
      </c>
      <c r="D333" s="2471"/>
      <c r="E333" s="547"/>
      <c r="F333" s="2395" t="s">
        <v>2026</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4">
        <f>IF(NOT(OR(Application!M355="Yes",Application!M356="Yes")),0,AP295)</f>
        <v>0</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04" t="s">
        <v>1313</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1453</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2091</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2206</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1454</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1455</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5</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0</v>
      </c>
      <c r="AS359" s="539" t="s">
        <v>1456</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5</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580</v>
      </c>
      <c r="AP361" s="696">
        <f>IF(C407="Yes",5,0)</f>
        <v>0</v>
      </c>
      <c r="AS361" s="539" t="s">
        <v>1877</v>
      </c>
    </row>
    <row r="362" spans="1:46" s="550" customFormat="1" ht="12.75" customHeight="1">
      <c r="A362" s="603"/>
      <c r="B362" s="611"/>
      <c r="C362" s="2535" t="s">
        <v>2230</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762</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583</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513" t="s">
        <v>1457</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455</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460</v>
      </c>
      <c r="AP370" s="696">
        <f>IF(C449="Yes",5,0)</f>
        <v>0</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1">
        <f>Application!DU802-U374</f>
        <v>147</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6">
        <f>IF(AP375&gt;0,AP375,0)</f>
        <v>0</v>
      </c>
      <c r="AR375" s="2536"/>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17" t="s">
        <v>1459</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590</v>
      </c>
      <c r="D381" s="2471"/>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1461</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17" t="s">
        <v>1462</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544</v>
      </c>
      <c r="D389" s="2471"/>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1461</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17" t="s">
        <v>1464</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590</v>
      </c>
      <c r="D397" s="2471"/>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1466</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544</v>
      </c>
      <c r="D399" s="2471"/>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1461</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17" t="s">
        <v>1470</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590</v>
      </c>
      <c r="D407" s="2471"/>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1461</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590</v>
      </c>
      <c r="D409" s="2471"/>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1473</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590</v>
      </c>
      <c r="D412" s="2471"/>
      <c r="E412" s="715" t="s">
        <v>1474</v>
      </c>
      <c r="F412" s="2517" t="s">
        <v>1475</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1461</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17" t="s">
        <v>1477</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590</v>
      </c>
      <c r="D421" s="2471"/>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1461</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590</v>
      </c>
      <c r="D423" s="2471"/>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1473</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17" t="s">
        <v>1481</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590</v>
      </c>
      <c r="D430" s="2471"/>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1461</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17" t="s">
        <v>1484</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590</v>
      </c>
      <c r="D442" s="2471"/>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1461</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17" t="s">
        <v>1487</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590</v>
      </c>
      <c r="D449" s="2471"/>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1461</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590</v>
      </c>
      <c r="D453" s="2521"/>
      <c r="E453" s="715" t="s">
        <v>1496</v>
      </c>
      <c r="F453" s="2517" t="s">
        <v>1497</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1461</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590</v>
      </c>
      <c r="D457" s="2471"/>
      <c r="E457" s="715" t="s">
        <v>1502</v>
      </c>
      <c r="F457" s="2517" t="s">
        <v>1503</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1461</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17" t="s">
        <v>1506</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590</v>
      </c>
      <c r="D466" s="2471"/>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1461</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515" t="s">
        <v>1510</v>
      </c>
      <c r="AF472" s="2515"/>
      <c r="AG472" s="2515"/>
      <c r="AH472" s="2515"/>
      <c r="AI472" s="2515"/>
      <c r="AJ472" s="2515"/>
      <c r="AK472" s="2515"/>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0" t="s">
        <v>590</v>
      </c>
      <c r="D478" s="2541"/>
      <c r="E478" s="761" t="s">
        <v>506</v>
      </c>
      <c r="F478" s="2542" t="s">
        <v>1516</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16" t="s">
        <v>590</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617" t="s">
        <v>544</v>
      </c>
      <c r="D482" s="2618"/>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5" t="s">
        <v>590</v>
      </c>
      <c r="W485" s="2615"/>
      <c r="X485" s="2615"/>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5" t="s">
        <v>590</v>
      </c>
      <c r="W487" s="2615"/>
      <c r="X487" s="2615"/>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5" t="s">
        <v>590</v>
      </c>
      <c r="W492" s="2615"/>
      <c r="X492" s="2615"/>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605"/>
      <c r="E495" s="2605"/>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5" t="s">
        <v>590</v>
      </c>
      <c r="W496" s="2615"/>
      <c r="X496" s="2615"/>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5" t="s">
        <v>590</v>
      </c>
      <c r="W498" s="2615"/>
      <c r="X498" s="2615"/>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590</v>
      </c>
      <c r="D501" s="2541"/>
      <c r="E501" s="761" t="s">
        <v>506</v>
      </c>
      <c r="F501" s="2542" t="s">
        <v>1516</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590</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590</v>
      </c>
      <c r="D505" s="2541"/>
      <c r="E505" s="761" t="s">
        <v>756</v>
      </c>
      <c r="F505" s="2612" t="s">
        <v>1538</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590</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590</v>
      </c>
      <c r="D510" s="2541"/>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590</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590</v>
      </c>
      <c r="D515" s="2545"/>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590</v>
      </c>
      <c r="D519" s="2545"/>
      <c r="F519" s="795" t="s">
        <v>1546</v>
      </c>
      <c r="G519" s="2518" t="s">
        <v>1547</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590</v>
      </c>
      <c r="D523" s="2547"/>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590</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1559</v>
      </c>
      <c r="AF538" s="2404"/>
      <c r="AG538" s="2404"/>
      <c r="AH538" s="2404"/>
      <c r="AI538" s="2404"/>
      <c r="AJ538" s="2404"/>
      <c r="AK538" s="2404"/>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544</v>
      </c>
      <c r="D541" s="2471"/>
      <c r="E541" s="551"/>
      <c r="F541" s="2598" t="s">
        <v>1560</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544</v>
      </c>
      <c r="D544" s="2471"/>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1562</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1563</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55324377</v>
      </c>
      <c r="AQ550" s="2620"/>
      <c r="AR550" s="2620"/>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64878075</v>
      </c>
      <c r="AG551" s="2477"/>
      <c r="AH551" s="2477"/>
      <c r="AI551" s="2477"/>
      <c r="AJ551" s="2477"/>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113995573.59999999</v>
      </c>
      <c r="AG552" s="2625"/>
      <c r="AH552" s="2625"/>
      <c r="AI552" s="2625"/>
      <c r="AJ552" s="2625"/>
      <c r="AK552" s="595"/>
      <c r="AL552" s="595"/>
      <c r="AM552" s="595"/>
      <c r="AN552" s="597"/>
      <c r="AP552" s="2620">
        <f>Application!AJ1045</f>
        <v>0</v>
      </c>
      <c r="AQ552" s="2620"/>
      <c r="AR552" s="2620"/>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0.86</v>
      </c>
      <c r="AG553" s="2626"/>
      <c r="AH553" s="2626"/>
      <c r="AI553" s="2626"/>
      <c r="AJ553" s="2626"/>
      <c r="AK553" s="595"/>
      <c r="AL553" s="595"/>
      <c r="AM553" s="595"/>
      <c r="AN553" s="597"/>
      <c r="AP553" s="2623">
        <f>Application!AJ1049</f>
        <v>54217889.460000001</v>
      </c>
      <c r="AQ553" s="2623"/>
      <c r="AR553" s="2623"/>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0.8</v>
      </c>
      <c r="AQ554" s="2619"/>
      <c r="AR554" s="2619"/>
      <c r="AS554" s="550" t="s">
        <v>2170</v>
      </c>
    </row>
    <row r="555" spans="1:49" s="550" customFormat="1" ht="12.75" customHeight="1">
      <c r="A555" s="624"/>
      <c r="B555" s="2556" t="s">
        <v>2030</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69736072</v>
      </c>
      <c r="AQ556" s="2529"/>
      <c r="AR556" s="2529"/>
      <c r="AS556" s="550" t="s">
        <v>2172</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123953961.46000001</v>
      </c>
      <c r="AQ557" s="2620"/>
      <c r="AR557" s="2620"/>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5">
        <f>IFERROR(IF(AND(C541="N/A",C544="N/A"),0,IF(AF553=0,0,IF((AF553*100)&gt;12,12,(AF553*100)))),0)</f>
        <v>12</v>
      </c>
      <c r="AL559" s="2565"/>
      <c r="AM559" s="2566"/>
      <c r="AN559" s="597"/>
      <c r="AP559" s="2637">
        <f>AP556+(AP550*AP554)</f>
        <v>113995573.59999999</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1313</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2021</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1337</v>
      </c>
      <c r="AG578" s="2439"/>
      <c r="AH578" s="2439"/>
      <c r="AI578" s="2439"/>
      <c r="AJ578" s="2439"/>
      <c r="AK578" s="2439"/>
      <c r="AL578" s="2439"/>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1395</v>
      </c>
      <c r="AG585" s="2439"/>
      <c r="AH585" s="2439"/>
      <c r="AI585" s="2439"/>
      <c r="AJ585" s="2439"/>
      <c r="AK585" s="2439"/>
      <c r="AL585" s="2439"/>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1377</v>
      </c>
      <c r="AG591" s="2439"/>
      <c r="AH591" s="2439"/>
      <c r="AI591" s="2439"/>
      <c r="AJ591" s="2439"/>
      <c r="AK591" s="2439"/>
      <c r="AL591" s="2439"/>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1398</v>
      </c>
      <c r="AG597" s="2439"/>
      <c r="AH597" s="2439"/>
      <c r="AI597" s="2439"/>
      <c r="AJ597" s="2439"/>
      <c r="AK597" s="2439"/>
      <c r="AL597" s="2439"/>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25" t="s">
        <v>1183</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1351</v>
      </c>
      <c r="AG603" s="2439"/>
      <c r="AH603" s="2439"/>
      <c r="AI603" s="2439"/>
      <c r="AJ603" s="2439"/>
      <c r="AK603" s="2439"/>
      <c r="AL603" s="2439"/>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523" t="s">
        <v>686</v>
      </c>
      <c r="I606" s="2523"/>
      <c r="J606" s="936"/>
      <c r="K606" s="936"/>
      <c r="L606" s="936"/>
      <c r="N606" s="22"/>
      <c r="O606" s="22"/>
      <c r="P606" s="22"/>
      <c r="Q606" s="1151" t="s">
        <v>2175</v>
      </c>
      <c r="R606" s="2526"/>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24" t="s">
        <v>590</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67" t="s">
        <v>590</v>
      </c>
      <c r="C616" s="2467"/>
      <c r="D616" s="642"/>
      <c r="E616" s="2494" t="s">
        <v>1402</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4">
        <f>VLOOKUP($H$606,$AO$586:$AP$591,2,FALSE)+IF(R606=AO594,0,VLOOKUP($I$614,$AO$613:$AP$615,2,FALSE))</f>
        <v>7</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2" t="s">
        <v>1693</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1351</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67" t="s">
        <v>590</v>
      </c>
      <c r="Y634" s="2467"/>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1407</v>
      </c>
      <c r="AG636" s="2439"/>
      <c r="AH636" s="2439"/>
      <c r="AI636" s="2439"/>
      <c r="AJ636" s="2439"/>
      <c r="AK636" s="2439"/>
      <c r="AL636" s="243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3" t="s">
        <v>686</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4">
        <f>VLOOKUP($H$638,$AO$605:$AP$607,2,FALSE)</f>
        <v>3</v>
      </c>
      <c r="AK640" s="2476"/>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94" t="s">
        <v>2096</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1351</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1407</v>
      </c>
      <c r="AG647" s="2439"/>
      <c r="AH647" s="2439"/>
      <c r="AI647" s="2439"/>
      <c r="AJ647" s="2439"/>
      <c r="AK647" s="2439"/>
      <c r="AL647" s="2439"/>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3" t="s">
        <v>686</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4">
        <f>VLOOKUP(H650,AT605:AU607,2,FALSE)</f>
        <v>3</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94" t="s">
        <v>1417</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1377</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94" t="s">
        <v>1418</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1398</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4" t="s">
        <v>1419</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1351</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590</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94" t="s">
        <v>1420</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1398</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4" t="s">
        <v>1421</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1351</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4" t="s">
        <v>1422</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1407</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94" t="s">
        <v>1423</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1424</v>
      </c>
      <c r="AG681" s="2439"/>
      <c r="AH681" s="2439"/>
      <c r="AI681" s="2439"/>
      <c r="AJ681" s="2439"/>
      <c r="AK681" s="2439"/>
      <c r="AL681" s="2439"/>
      <c r="AM681" s="596"/>
      <c r="AN681" s="597"/>
      <c r="AO681" s="611" t="s">
        <v>686</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3" t="s">
        <v>686</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4">
        <f>VLOOKUP($H$685,$AO$633:$AP$640,2,FALSE)</f>
        <v>5</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147</v>
      </c>
    </row>
    <row r="691" spans="1:51" s="550" customFormat="1" ht="12.75" customHeight="1">
      <c r="A691" s="679"/>
      <c r="B691" s="536"/>
      <c r="C691" s="948"/>
      <c r="D691" s="663" t="s">
        <v>686</v>
      </c>
      <c r="E691" s="2530" t="s">
        <v>2188</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1351</v>
      </c>
      <c r="AG691" s="2439"/>
      <c r="AH691" s="2439"/>
      <c r="AI691" s="2439"/>
      <c r="AJ691" s="2439"/>
      <c r="AK691" s="2439"/>
      <c r="AL691" s="2439"/>
      <c r="AN691" s="597"/>
      <c r="AW691" s="22" t="s">
        <v>2183</v>
      </c>
      <c r="AX691" s="550">
        <f>Application!DE753</f>
        <v>0</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508</v>
      </c>
      <c r="E694" s="2494" t="s">
        <v>2132</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1351</v>
      </c>
      <c r="AG694" s="2439"/>
      <c r="AH694" s="2439"/>
      <c r="AI694" s="2439"/>
      <c r="AJ694" s="2439"/>
      <c r="AK694" s="2439"/>
      <c r="AL694" s="2439"/>
      <c r="AN694" s="597"/>
      <c r="AW694" s="22" t="s">
        <v>2186</v>
      </c>
      <c r="AX694" s="550">
        <f>AX691+AX692+AX693</f>
        <v>0</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0</v>
      </c>
      <c r="AP695" s="2529"/>
      <c r="AW695" s="22" t="s">
        <v>2187</v>
      </c>
      <c r="AX695" s="550">
        <f>IFERROR(AX694/AX690,0)</f>
        <v>0</v>
      </c>
      <c r="AY695" s="550">
        <f>IFERROR(AX694/(AX690-AX689),0)</f>
        <v>0</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278</v>
      </c>
      <c r="E699" s="2494" t="s">
        <v>2133</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1407</v>
      </c>
      <c r="AG699" s="2439"/>
      <c r="AH699" s="2439"/>
      <c r="AI699" s="2439"/>
      <c r="AJ699" s="2439"/>
      <c r="AK699" s="2439"/>
      <c r="AL699" s="2439"/>
      <c r="AN699" s="597"/>
      <c r="AO699" s="611" t="s">
        <v>508</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94" t="s">
        <v>1692</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508</v>
      </c>
      <c r="AP705" s="550">
        <f>3*$AO$695</f>
        <v>0</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3" t="s">
        <v>686</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74">
        <f>VLOOKUP($H$709,$AO$703:$AP$706,2,FALSE)</f>
        <v>3</v>
      </c>
      <c r="AK711" s="2476"/>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1" t="s">
        <v>1694</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1351</v>
      </c>
      <c r="AG715" s="2439"/>
      <c r="AH715" s="2439"/>
      <c r="AI715" s="2439"/>
      <c r="AJ715" s="2439"/>
      <c r="AK715" s="2439"/>
      <c r="AL715" s="2439"/>
      <c r="AM715" s="550"/>
      <c r="AN715" s="684"/>
      <c r="AP715" s="570" t="s">
        <v>1431</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32" t="s">
        <v>1434</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1407</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523" t="s">
        <v>686</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4">
        <f>VLOOKUP($H$723,$AP$720:$AQ$722,2,FALSE)</f>
        <v>3</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94" t="s">
        <v>1695</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1351</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94" t="s">
        <v>1438</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1407</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3" t="s">
        <v>590</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94" t="s">
        <v>1441</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1351</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94" t="s">
        <v>1442</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1407</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3" t="s">
        <v>686</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4">
        <f>VLOOKUP($H$751,$AO$680:$AP$682,2,FALSE)</f>
        <v>3</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94" t="s">
        <v>1444</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1407</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94" t="s">
        <v>1445</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1424</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3" t="s">
        <v>686</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4">
        <f>VLOOKUP($H$763,$AO$697:$AP$699,2,FALSE)</f>
        <v>2</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94" t="s">
        <v>1691</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1407</v>
      </c>
      <c r="AG769" s="2439"/>
      <c r="AH769" s="2439"/>
      <c r="AI769" s="2439"/>
      <c r="AJ769" s="2439"/>
      <c r="AK769" s="2439"/>
      <c r="AL769" s="2439"/>
      <c r="AM769" s="613"/>
      <c r="AN769" s="684"/>
      <c r="AO769" s="550" t="s">
        <v>590</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3" t="s">
        <v>1696</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1351</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3" t="s">
        <v>590</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94" t="s">
        <v>2031</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1351</v>
      </c>
      <c r="AG785" s="2439"/>
      <c r="AH785" s="2439"/>
      <c r="AI785" s="2439"/>
      <c r="AJ785" s="2439"/>
      <c r="AK785" s="2439"/>
      <c r="AL785" s="2439"/>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23" t="s">
        <v>590</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1567</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1568</v>
      </c>
      <c r="U802" s="2571"/>
      <c r="V802" s="2571"/>
      <c r="W802" s="2571"/>
      <c r="X802" s="2571"/>
      <c r="Y802" s="2572"/>
      <c r="Z802" s="2570" t="s">
        <v>1569</v>
      </c>
      <c r="AA802" s="2571"/>
      <c r="AB802" s="2571"/>
      <c r="AC802" s="2571"/>
      <c r="AD802" s="2571"/>
      <c r="AE802" s="2572"/>
      <c r="AF802" s="2570" t="s">
        <v>1570</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756</v>
      </c>
      <c r="B804" s="2550" t="s">
        <v>1303</v>
      </c>
      <c r="C804" s="2550"/>
      <c r="D804" s="2550"/>
      <c r="E804" s="2550"/>
      <c r="F804" s="2550"/>
      <c r="G804" s="2550"/>
      <c r="H804" s="2550"/>
      <c r="I804" s="2550"/>
      <c r="J804" s="2550"/>
      <c r="K804" s="2550"/>
      <c r="L804" s="2550"/>
      <c r="M804" s="2550"/>
      <c r="N804" s="2550"/>
      <c r="O804" s="2550"/>
      <c r="P804" s="2550"/>
      <c r="Q804" s="2550"/>
      <c r="R804" s="2550"/>
      <c r="S804" s="2551"/>
      <c r="T804" s="2552">
        <f>AK62</f>
        <v>20</v>
      </c>
      <c r="U804" s="2553"/>
      <c r="V804" s="2553"/>
      <c r="W804" s="2553"/>
      <c r="X804" s="2553"/>
      <c r="Y804" s="2554"/>
      <c r="Z804" s="2555">
        <v>20</v>
      </c>
      <c r="AA804" s="2553"/>
      <c r="AB804" s="2553"/>
      <c r="AC804" s="2553"/>
      <c r="AD804" s="2553"/>
      <c r="AE804" s="2554"/>
      <c r="AF804" s="2536">
        <f>IF(T804&gt;Z804,Z804,T804)</f>
        <v>20</v>
      </c>
      <c r="AG804" s="2536"/>
      <c r="AH804" s="2536"/>
      <c r="AI804" s="2536"/>
      <c r="AJ804" s="2536"/>
      <c r="AK804" s="2536"/>
      <c r="AL804" s="818"/>
      <c r="AM804" s="596"/>
      <c r="AO804" s="816"/>
      <c r="AP804" s="816"/>
      <c r="AQ804" s="816"/>
    </row>
    <row r="805" spans="1:81">
      <c r="A805" s="819" t="s">
        <v>1540</v>
      </c>
      <c r="B805" s="2550" t="s">
        <v>1312</v>
      </c>
      <c r="C805" s="2550"/>
      <c r="D805" s="2550"/>
      <c r="E805" s="2550"/>
      <c r="F805" s="2550"/>
      <c r="G805" s="2550"/>
      <c r="H805" s="2550"/>
      <c r="I805" s="2550"/>
      <c r="J805" s="2550"/>
      <c r="K805" s="2550"/>
      <c r="L805" s="2550"/>
      <c r="M805" s="2550"/>
      <c r="N805" s="2550"/>
      <c r="O805" s="2550"/>
      <c r="P805" s="2550"/>
      <c r="Q805" s="2550"/>
      <c r="R805" s="2550"/>
      <c r="S805" s="2551"/>
      <c r="T805" s="2552">
        <f>AK84</f>
        <v>0</v>
      </c>
      <c r="U805" s="2553"/>
      <c r="V805" s="2553"/>
      <c r="W805" s="2553"/>
      <c r="X805" s="2553"/>
      <c r="Y805" s="2554"/>
      <c r="Z805" s="2555">
        <v>10</v>
      </c>
      <c r="AA805" s="2553"/>
      <c r="AB805" s="2553"/>
      <c r="AC805" s="2553"/>
      <c r="AD805" s="2553"/>
      <c r="AE805" s="2554"/>
      <c r="AF805" s="2536">
        <f>IF(T805&gt;Z805,Z805,T805)</f>
        <v>0</v>
      </c>
      <c r="AG805" s="2536"/>
      <c r="AH805" s="2536"/>
      <c r="AI805" s="2536"/>
      <c r="AJ805" s="2536"/>
      <c r="AK805" s="2536"/>
      <c r="AL805" s="818"/>
      <c r="AM805" s="596"/>
      <c r="AO805" s="816"/>
      <c r="AP805" s="816"/>
      <c r="AQ805" s="816"/>
    </row>
    <row r="806" spans="1:81">
      <c r="A806" s="819" t="s">
        <v>1549</v>
      </c>
      <c r="B806" s="2550" t="s">
        <v>1322</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1571</v>
      </c>
      <c r="B807" s="2550" t="s">
        <v>1332</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1572</v>
      </c>
      <c r="B808" s="2550" t="s">
        <v>1573</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1574</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1575</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1360</v>
      </c>
      <c r="B811" s="2550" t="s">
        <v>1576</v>
      </c>
      <c r="C811" s="2550"/>
      <c r="D811" s="2550"/>
      <c r="E811" s="2550"/>
      <c r="F811" s="2550"/>
      <c r="G811" s="2550"/>
      <c r="H811" s="2550"/>
      <c r="I811" s="2550"/>
      <c r="J811" s="2550"/>
      <c r="K811" s="2550"/>
      <c r="L811" s="2550"/>
      <c r="M811" s="2550"/>
      <c r="N811" s="2550"/>
      <c r="O811" s="2550"/>
      <c r="P811" s="2550"/>
      <c r="Q811" s="2550"/>
      <c r="R811" s="2550"/>
      <c r="S811" s="2551"/>
      <c r="T811" s="2576">
        <f>AK191</f>
        <v>0</v>
      </c>
      <c r="U811" s="2576"/>
      <c r="V811" s="2576"/>
      <c r="W811" s="2576"/>
      <c r="X811" s="2576"/>
      <c r="Y811" s="2576"/>
      <c r="Z811" s="2536">
        <v>10</v>
      </c>
      <c r="AA811" s="2536"/>
      <c r="AB811" s="2536"/>
      <c r="AC811" s="2536"/>
      <c r="AD811" s="2536"/>
      <c r="AE811" s="2536"/>
      <c r="AF811" s="2536">
        <f>IF(T811&gt;Z811,Z811,T811)</f>
        <v>0</v>
      </c>
      <c r="AG811" s="2536"/>
      <c r="AH811" s="2536"/>
      <c r="AI811" s="2536"/>
      <c r="AJ811" s="2536"/>
      <c r="AK811" s="2536"/>
      <c r="AL811" s="818"/>
      <c r="AM811" s="596"/>
    </row>
    <row r="812" spans="1:81">
      <c r="A812" s="819" t="s">
        <v>1369</v>
      </c>
      <c r="B812" s="2550" t="s">
        <v>1370</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588</v>
      </c>
      <c r="B813" s="2550" t="s">
        <v>1577</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0" t="s">
        <v>1578</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0" t="s">
        <v>1380</v>
      </c>
      <c r="C815" s="2550"/>
      <c r="D815" s="2550"/>
      <c r="E815" s="2550"/>
      <c r="F815" s="2550"/>
      <c r="G815" s="2550"/>
      <c r="H815" s="2550"/>
      <c r="I815" s="2550"/>
      <c r="J815" s="2550"/>
      <c r="K815" s="2550"/>
      <c r="L815" s="2550"/>
      <c r="M815" s="2550"/>
      <c r="N815" s="2550"/>
      <c r="O815" s="2550"/>
      <c r="P815" s="2550"/>
      <c r="Q815" s="2550"/>
      <c r="R815" s="2550"/>
      <c r="S815" s="2551"/>
      <c r="T815" s="2576">
        <f>AK338</f>
        <v>0</v>
      </c>
      <c r="U815" s="2576"/>
      <c r="V815" s="2576"/>
      <c r="W815" s="2576"/>
      <c r="X815" s="2576"/>
      <c r="Y815" s="2576"/>
      <c r="Z815" s="2582">
        <v>10</v>
      </c>
      <c r="AA815" s="2583"/>
      <c r="AB815" s="2583"/>
      <c r="AC815" s="2583"/>
      <c r="AD815" s="2583"/>
      <c r="AE815" s="2584"/>
      <c r="AF815" s="2582">
        <f>IF(T815&gt;Z815,Z815,T815)</f>
        <v>0</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69">
        <f>AK338</f>
        <v>0</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0" t="s">
        <v>844</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0" t="s">
        <v>1558</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50" t="s">
        <v>1580</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1581</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1582</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1583</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110</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sqref="A1:J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5" t="s">
        <v>1584</v>
      </c>
      <c r="B1" s="2655"/>
      <c r="C1" s="2655"/>
      <c r="D1" s="2655"/>
      <c r="E1" s="2655"/>
      <c r="F1" s="2655"/>
      <c r="G1" s="2655"/>
      <c r="H1" s="2655"/>
      <c r="I1" s="2655"/>
      <c r="J1" s="2655"/>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52882352.000000007</v>
      </c>
      <c r="I3" s="1105"/>
    </row>
    <row r="4" spans="1:13" s="1051" customFormat="1" ht="20.100000000000001" customHeight="1">
      <c r="B4" s="1094"/>
      <c r="D4" s="1108"/>
      <c r="F4" s="1092" t="s">
        <v>1990</v>
      </c>
      <c r="G4" s="1091" t="s">
        <v>1989</v>
      </c>
      <c r="H4" s="1093">
        <f>I18</f>
        <v>14013140.196078431</v>
      </c>
      <c r="I4" s="1095"/>
      <c r="K4" s="1055"/>
    </row>
    <row r="5" spans="1:13" s="1051" customFormat="1" ht="20.100000000000001" customHeight="1" thickBot="1">
      <c r="B5" s="1096"/>
      <c r="C5" s="1097"/>
      <c r="D5" s="1109"/>
      <c r="E5" s="1098"/>
      <c r="F5" s="1109" t="s">
        <v>1940</v>
      </c>
      <c r="G5" s="1110"/>
      <c r="H5" s="1106">
        <f>IFERROR(H3/H4,0)</f>
        <v>3.7737688526658073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1938</v>
      </c>
      <c r="C8" s="2659"/>
      <c r="D8" s="2659"/>
      <c r="E8" s="2660"/>
      <c r="G8" s="2661" t="s">
        <v>1939</v>
      </c>
      <c r="H8" s="2662"/>
      <c r="I8" s="2663"/>
      <c r="K8" s="1057"/>
    </row>
    <row r="9" spans="1:13" ht="15" customHeight="1">
      <c r="A9" s="1046"/>
      <c r="B9" s="2656" t="s">
        <v>1972</v>
      </c>
      <c r="C9" s="2656"/>
      <c r="D9" s="2656"/>
      <c r="E9" s="1059">
        <f>G33</f>
        <v>6855000.0000000009</v>
      </c>
      <c r="G9" s="2664" t="s">
        <v>1970</v>
      </c>
      <c r="H9" s="2664"/>
      <c r="I9" s="1060">
        <f>SUMIF(Application!M554:M565,"Loan, Tax-Exempt",Application!AM554:AM565)</f>
        <v>16230000</v>
      </c>
      <c r="K9" s="1061"/>
      <c r="M9" s="1062"/>
    </row>
    <row r="10" spans="1:13" ht="15" customHeight="1" thickBot="1">
      <c r="A10" s="1046"/>
      <c r="B10" s="2656" t="s">
        <v>1973</v>
      </c>
      <c r="C10" s="2656"/>
      <c r="D10" s="2656"/>
      <c r="E10" s="1060">
        <f>G47</f>
        <v>33462252.000000004</v>
      </c>
      <c r="G10" s="2668" t="s">
        <v>1941</v>
      </c>
      <c r="H10" s="2668"/>
      <c r="I10" s="1140">
        <f>'Basis &amp; Credits'!AB78</f>
        <v>0</v>
      </c>
      <c r="M10" s="1062"/>
    </row>
    <row r="11" spans="1:13" ht="15" customHeight="1">
      <c r="A11" s="1046"/>
      <c r="B11" s="2672" t="s">
        <v>2261</v>
      </c>
      <c r="C11" s="2673"/>
      <c r="D11" s="2674"/>
      <c r="E11" s="1060">
        <f>SUM(E12,E13)</f>
        <v>1460000</v>
      </c>
      <c r="G11" s="2671" t="s">
        <v>1981</v>
      </c>
      <c r="H11" s="2671"/>
      <c r="I11" s="1139">
        <f>I9+I10</f>
        <v>16230000</v>
      </c>
      <c r="M11" s="1062"/>
    </row>
    <row r="12" spans="1:13" ht="15" customHeight="1">
      <c r="A12" s="1063"/>
      <c r="B12" s="2657" t="s">
        <v>2263</v>
      </c>
      <c r="C12" s="2657"/>
      <c r="D12" s="2657"/>
      <c r="E12" s="1165">
        <f>G56</f>
        <v>0</v>
      </c>
      <c r="M12" s="1062"/>
    </row>
    <row r="13" spans="1:13" ht="15" customHeight="1">
      <c r="A13" s="1049"/>
      <c r="B13" s="2657" t="s">
        <v>2264</v>
      </c>
      <c r="C13" s="2657"/>
      <c r="D13" s="2657"/>
      <c r="E13" s="1165">
        <f>G65</f>
        <v>1460000</v>
      </c>
      <c r="G13" s="2661" t="s">
        <v>2004</v>
      </c>
      <c r="H13" s="2662"/>
      <c r="I13" s="2663"/>
      <c r="M13" s="1062"/>
    </row>
    <row r="14" spans="1:13" ht="15" customHeight="1">
      <c r="A14" s="1049"/>
      <c r="B14" s="2672" t="s">
        <v>2262</v>
      </c>
      <c r="C14" s="2673"/>
      <c r="D14" s="2674"/>
      <c r="E14" s="1167">
        <f>MAX(E15,E16)+E17</f>
        <v>11105100.000000002</v>
      </c>
      <c r="G14" s="2664" t="s">
        <v>139</v>
      </c>
      <c r="H14" s="2664"/>
      <c r="I14" s="1064">
        <f>15%*(AND(G120="Yes",G122&lt;&gt;""))</f>
        <v>0</v>
      </c>
      <c r="M14" s="1062"/>
    </row>
    <row r="15" spans="1:13" ht="15" customHeight="1">
      <c r="A15" s="1049"/>
      <c r="B15" s="2675" t="s">
        <v>2268</v>
      </c>
      <c r="C15" s="2676"/>
      <c r="D15" s="2677"/>
      <c r="E15" s="1165">
        <f>G80</f>
        <v>0</v>
      </c>
      <c r="G15" s="1137" t="s">
        <v>1982</v>
      </c>
      <c r="H15" s="1137"/>
      <c r="I15" s="1064">
        <f>IF(Application!AJ1032&gt;0,10%,IF(Application!AJ1036&gt;0,5%,0))</f>
        <v>0.1</v>
      </c>
      <c r="M15" s="1062"/>
    </row>
    <row r="16" spans="1:13" ht="15" customHeight="1">
      <c r="A16" s="1049"/>
      <c r="B16" s="2675" t="s">
        <v>2267</v>
      </c>
      <c r="C16" s="2676"/>
      <c r="D16" s="2677"/>
      <c r="E16" s="1165">
        <f>G90</f>
        <v>0</v>
      </c>
      <c r="G16" s="2664" t="s">
        <v>1983</v>
      </c>
      <c r="H16" s="2664"/>
      <c r="I16" s="1064">
        <f>G132</f>
        <v>8.1699346405228761E-4</v>
      </c>
    </row>
    <row r="17" spans="1:21" ht="15" customHeight="1" thickBot="1">
      <c r="A17" s="1049"/>
      <c r="B17" s="2675" t="s">
        <v>2266</v>
      </c>
      <c r="C17" s="2676"/>
      <c r="D17" s="2677"/>
      <c r="E17" s="1165">
        <f>G115</f>
        <v>11105100.000000002</v>
      </c>
      <c r="G17" s="2664" t="s">
        <v>2276</v>
      </c>
      <c r="H17" s="2664"/>
      <c r="I17" s="1064">
        <f>IF(AND(G139="Yes",OR(G136,G137)),IF(G143&gt;15%,15%,G143),0)</f>
        <v>3.5773259396179917E-2</v>
      </c>
    </row>
    <row r="18" spans="1:21" ht="15" customHeight="1">
      <c r="A18" s="1046"/>
      <c r="B18" s="2667" t="s">
        <v>1937</v>
      </c>
      <c r="C18" s="2667"/>
      <c r="D18" s="2667"/>
      <c r="E18" s="1111">
        <f>SUM(E9:E11,E14)</f>
        <v>52882352.000000007</v>
      </c>
      <c r="G18" s="1138" t="s">
        <v>1971</v>
      </c>
      <c r="H18" s="1138"/>
      <c r="I18" s="1112">
        <f>I11-((I11*I14)+(I11*I15)+(I11*I16)+(I11*I17))</f>
        <v>14013140.196078431</v>
      </c>
      <c r="M18" s="1065">
        <f>SUM(Cdlac[Quantity])</f>
        <v>147</v>
      </c>
      <c r="O18" s="1084" t="s">
        <v>581</v>
      </c>
      <c r="P18" s="1044">
        <f>MATCH(Application!T189,Application!CB160:CB217,0)</f>
        <v>37</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7</v>
      </c>
      <c r="N20" s="1071">
        <f>Application!AC718</f>
        <v>0.3</v>
      </c>
      <c r="O20" s="1071">
        <f>IF(Cdlac[[#This Row],[Quantity]]&gt;0,IF(Cdlac[[#This Row],[Federal]],30%,IF(AND(OR(NOT($G$38),$G$38=""),$G$43),40%,Cdlac[[#This Row],[iAMI]])),"")</f>
        <v>0.4</v>
      </c>
      <c r="P20" s="1065" cm="1">
        <f t="array" ref="P20">IF(Cdlac[[#This Row],[Quantity]]&gt;0,INDEX(TcacRents,$P$18,Cdlac[[#This Row],[Bedrooms]]+1)*Cdlac[[#This Row],[AMI]],"")</f>
        <v>1157.6000000000001</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987.39999999999986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42</v>
      </c>
      <c r="N21" s="1071">
        <f>Application!AC719</f>
        <v>0.3</v>
      </c>
      <c r="O21" s="1071">
        <f>IF(Cdlac[[#This Row],[Quantity]]&gt;0,IF(Cdlac[[#This Row],[Federal]],30%,IF(AND(OR(NOT($G$38),$G$38=""),$G$43),40%,Cdlac[[#This Row],[iAMI]])),"")</f>
        <v>0.3</v>
      </c>
      <c r="P21" s="1065" cm="1">
        <f t="array" ref="P21">IF(Cdlac[[#This Row],[Quantity]]&gt;0,INDEX(TcacRents,$P$18,Cdlac[[#This Row],[Bedrooms]]+1)*Cdlac[[#This Row],[AMI]],"")</f>
        <v>868.19999999999993</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1276.8000000000002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5" t="s">
        <v>1985</v>
      </c>
      <c r="D22" s="2665" t="s">
        <v>1986</v>
      </c>
      <c r="E22" s="2665" t="s">
        <v>1987</v>
      </c>
      <c r="F22" s="2665" t="s">
        <v>2607</v>
      </c>
      <c r="G22" s="2665" t="s">
        <v>1984</v>
      </c>
      <c r="H22" s="1070"/>
      <c r="I22" s="1069"/>
      <c r="L22" s="1044">
        <f>IFERROR(MIN(4,MATCH(Application!B720,UnitSizes,0)-1),"")</f>
        <v>0</v>
      </c>
      <c r="M22" s="1065">
        <f>Application!G720</f>
        <v>50</v>
      </c>
      <c r="N22" s="1071">
        <f>Application!AC720</f>
        <v>0.6</v>
      </c>
      <c r="O22" s="1071">
        <f>IF(Cdlac[[#This Row],[Quantity]]&gt;0,IF(Cdlac[[#This Row],[Federal]],30%,IF(AND(OR(NOT($G$38),$G$38=""),$G$43),40%,Cdlac[[#This Row],[iAMI]])),"")</f>
        <v>0.3</v>
      </c>
      <c r="P22" s="1065" cm="1">
        <f t="array" ref="P22">IF(Cdlac[[#This Row],[Quantity]]&gt;0,INDEX(TcacRents,$P$18,Cdlac[[#This Row],[Bedrooms]]+1)*Cdlac[[#This Row],[AMI]],"")</f>
        <v>868.19999999999993</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1276.8000000000002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6"/>
      <c r="D23" s="2666"/>
      <c r="E23" s="2666"/>
      <c r="F23" s="2666"/>
      <c r="G23" s="2666"/>
      <c r="H23" s="1070"/>
      <c r="I23" s="1069"/>
      <c r="L23" s="1044">
        <f>IFERROR(MIN(4,MATCH(Application!B721,UnitSizes,0)-1),"")</f>
        <v>1</v>
      </c>
      <c r="M23" s="1065">
        <f>Application!G721</f>
        <v>18</v>
      </c>
      <c r="N23" s="1071">
        <f>Application!AC721</f>
        <v>0.3</v>
      </c>
      <c r="O23" s="1071">
        <f>IF(Cdlac[[#This Row],[Quantity]]&gt;0,IF(Cdlac[[#This Row],[Federal]],30%,IF(AND(OR(NOT($G$38),$G$38=""),$G$43),40%,Cdlac[[#This Row],[iAMI]])),"")</f>
        <v>0.4</v>
      </c>
      <c r="P23" s="1065" cm="1">
        <f t="array" ref="P23">IF(Cdlac[[#This Row],[Quantity]]&gt;0,INDEX(TcacRents,$P$18,Cdlac[[#This Row],[Bedrooms]]+1)*Cdlac[[#This Row],[AMI]],"")</f>
        <v>1240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1088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99</v>
      </c>
      <c r="F24" s="1072">
        <f>E24</f>
        <v>99</v>
      </c>
      <c r="G24" s="1072">
        <f>D24*F24</f>
        <v>89.100000000000009</v>
      </c>
      <c r="L24" s="1044">
        <f>IFERROR(MIN(4,MATCH(Application!B722,UnitSizes,0)-1),"")</f>
        <v>1</v>
      </c>
      <c r="M24" s="1065">
        <f>Application!G722</f>
        <v>6</v>
      </c>
      <c r="N24" s="1071">
        <f>Application!AC722</f>
        <v>0.3</v>
      </c>
      <c r="O24" s="1071">
        <f>IF(Cdlac[[#This Row],[Quantity]]&gt;0,IF(Cdlac[[#This Row],[Federal]],30%,IF(AND(OR(NOT($G$38),$G$38=""),$G$43),40%,Cdlac[[#This Row],[iAMI]])),"")</f>
        <v>0.3</v>
      </c>
      <c r="P24" s="1065" cm="1">
        <f t="array" ref="P24">IF(Cdlac[[#This Row],[Quantity]]&gt;0,INDEX(TcacRents,$P$18,Cdlac[[#This Row],[Bedrooms]]+1)*Cdlac[[#This Row],[AMI]],"")</f>
        <v>930</v>
      </c>
      <c r="Q24" s="1164"/>
      <c r="R24" s="1065" cm="1">
        <f t="array" ref="R24">IF(Cdlac[[#This Row],[Quantity]]&gt;0,INDEX(HudFmrs,$P$18,Cdlac[[#This Row],[Bedrooms]]+1),"")</f>
        <v>2328</v>
      </c>
      <c r="S24" s="1065">
        <f>IF(Cdlac[[#This Row],[Quantity]]&gt;0,MAX(0,Cdlac[[#This Row],[Fair Market Rent]]-IF(AND($G$37,$G$38,$G$38&lt;&gt;"",NOT(Cdlac[[#This Row],[Federal]]),Cdlac[[#This Row],[Preservation Rent]]&lt;&gt;""),Cdlac[[#This Row],[Preservation Rent]],Cdlac[[#This Row],[Restricted Rent]])),"")</f>
        <v>1398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48</v>
      </c>
      <c r="F25" s="1072">
        <f>E25</f>
        <v>48</v>
      </c>
      <c r="G25" s="1072">
        <f>D25*F25</f>
        <v>48</v>
      </c>
      <c r="L25" s="1044">
        <f>IFERROR(MIN(4,MATCH(Application!B723,UnitSizes,0)-1),"")</f>
        <v>1</v>
      </c>
      <c r="M25" s="1065">
        <f>Application!G723</f>
        <v>24</v>
      </c>
      <c r="N25" s="1071">
        <f>Application!AC723</f>
        <v>0.6</v>
      </c>
      <c r="O25" s="1071">
        <f>IF(Cdlac[[#This Row],[Quantity]]&gt;0,IF(Cdlac[[#This Row],[Federal]],30%,IF(AND(OR(NOT($G$38),$G$38=""),$G$43),40%,Cdlac[[#This Row],[iAMI]])),"")</f>
        <v>0.3</v>
      </c>
      <c r="P25" s="1065" cm="1">
        <f t="array" ref="P25">IF(Cdlac[[#This Row],[Quantity]]&gt;0,INDEX(TcacRents,$P$18,Cdlac[[#This Row],[Bedrooms]]+1)*Cdlac[[#This Row],[AMI]],"")</f>
        <v>930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1398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9" t="s">
        <v>1585</v>
      </c>
      <c r="D29" s="2680"/>
      <c r="E29" s="1089">
        <f>SUM(E24:E28)</f>
        <v>147</v>
      </c>
      <c r="F29" s="1089">
        <f>SUM(F24:F28)</f>
        <v>147</v>
      </c>
      <c r="G29" s="1090">
        <f>SUMPRODUCT(D24:D28,F24:F28)</f>
        <v>137.10000000000002</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137.10000000000002</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6855000.0000000009</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185901.40000000002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33462252.000000004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73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73</v>
      </c>
    </row>
    <row r="61" spans="2:21" ht="15" customHeight="1">
      <c r="E61" s="1117" t="s">
        <v>1993</v>
      </c>
      <c r="G61" s="1079">
        <f>ROUNDDOWN(E29*50%,0)</f>
        <v>73</v>
      </c>
    </row>
    <row r="62" spans="2:21" ht="15" customHeight="1">
      <c r="E62" s="1117"/>
      <c r="G62" s="1079"/>
    </row>
    <row r="63" spans="2:21" ht="15" customHeight="1">
      <c r="E63" s="1117" t="s">
        <v>1953</v>
      </c>
      <c r="G63" s="1114">
        <f>MIN(G60:G61)</f>
        <v>73</v>
      </c>
    </row>
    <row r="64" spans="2:21" ht="15" customHeight="1">
      <c r="E64" s="1117" t="s">
        <v>1943</v>
      </c>
      <c r="F64" s="1113" t="s">
        <v>1991</v>
      </c>
      <c r="G64" s="1124">
        <v>20000</v>
      </c>
    </row>
    <row r="65" spans="2:14" ht="15" customHeight="1">
      <c r="E65" s="1118" t="s">
        <v>1975</v>
      </c>
      <c r="F65" s="1046"/>
      <c r="G65" s="1123">
        <f>G63*G64</f>
        <v>1460000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668</v>
      </c>
    </row>
    <row r="70" spans="2:14" ht="15" customHeight="1">
      <c r="C70" s="1077" t="s">
        <v>1980</v>
      </c>
      <c r="G70" s="1081" t="str">
        <f>IF(Application!D211="Large Family","Yes","No")</f>
        <v>No</v>
      </c>
    </row>
    <row r="71" spans="2:14" ht="15" customHeight="1" thickBot="1">
      <c r="C71" s="1077" t="s">
        <v>1966</v>
      </c>
      <c r="G71" s="1043" t="s">
        <v>668</v>
      </c>
    </row>
    <row r="72" spans="2:14" ht="15" customHeight="1">
      <c r="C72" s="1077" t="s">
        <v>1967</v>
      </c>
      <c r="G72" s="1044" t="str">
        <f>Application!T193</f>
        <v>Highest Resource</v>
      </c>
      <c r="L72" s="2652" t="s">
        <v>1968</v>
      </c>
      <c r="M72" s="2653"/>
      <c r="N72" s="1131">
        <v>30000</v>
      </c>
    </row>
    <row r="73" spans="2:14" ht="15" customHeight="1">
      <c r="C73" s="2654" t="s">
        <v>2260</v>
      </c>
      <c r="D73" s="2654"/>
      <c r="E73" s="2654"/>
      <c r="F73" s="2654"/>
      <c r="G73" s="1043" t="s">
        <v>668</v>
      </c>
      <c r="L73" s="2669" t="s">
        <v>1936</v>
      </c>
      <c r="M73" s="2670"/>
      <c r="N73" s="1132">
        <v>20000</v>
      </c>
    </row>
    <row r="74" spans="2:14" ht="15" customHeight="1" thickBot="1">
      <c r="C74" s="2654"/>
      <c r="D74" s="2654"/>
      <c r="E74" s="2654"/>
      <c r="F74" s="2654"/>
      <c r="L74" s="2644" t="s">
        <v>1969</v>
      </c>
      <c r="M74" s="2645"/>
      <c r="N74" s="1133">
        <v>10000</v>
      </c>
    </row>
    <row r="75" spans="2:14" ht="15" customHeight="1">
      <c r="C75" s="1077"/>
    </row>
    <row r="76" spans="2:14" ht="15" customHeight="1">
      <c r="E76" s="1084" t="s">
        <v>1998</v>
      </c>
      <c r="G76" s="1079" t="b">
        <f>OR(AND(COUNTIFS(G70:G71,"Yes")&gt;=1,G69="Yes"),G73="Yes")</f>
        <v>0</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137.10000000000002</v>
      </c>
    </row>
    <row r="80" spans="2:14" ht="15" customHeight="1">
      <c r="D80" s="1046"/>
      <c r="E80" s="1118" t="s">
        <v>2265</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668</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137.10000000000002</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137.10000000000002</v>
      </c>
    </row>
    <row r="97" spans="2:14" ht="15" customHeight="1">
      <c r="E97" s="1118" t="s">
        <v>1960</v>
      </c>
      <c r="F97" s="1046"/>
      <c r="G97" s="1123">
        <f>G94*G95*G96</f>
        <v>3838800.0000000005</v>
      </c>
      <c r="L97" s="1127" t="str">
        <f>'Points System'!H638</f>
        <v>(i)</v>
      </c>
      <c r="M97" s="2650" t="s">
        <v>1404</v>
      </c>
      <c r="N97" s="2651"/>
    </row>
    <row r="98" spans="2:14" ht="15" customHeight="1">
      <c r="C98" s="1077"/>
      <c r="G98" s="1114"/>
      <c r="L98" s="1128" t="str">
        <f>'Points System'!H650</f>
        <v>(i)</v>
      </c>
      <c r="M98" s="2646" t="s">
        <v>1955</v>
      </c>
      <c r="N98" s="2647"/>
    </row>
    <row r="99" spans="2:14" ht="15" customHeight="1">
      <c r="E99" s="1084" t="s">
        <v>1996</v>
      </c>
      <c r="G99" s="1126">
        <f>COUNTIFS(L97:L104,"(i)")</f>
        <v>7</v>
      </c>
      <c r="L99" s="1128" t="str">
        <f>'Points System'!H685</f>
        <v>(i)</v>
      </c>
      <c r="M99" s="2646" t="s">
        <v>1956</v>
      </c>
      <c r="N99" s="2647"/>
    </row>
    <row r="100" spans="2:14" ht="15" customHeight="1">
      <c r="E100" s="1084" t="s">
        <v>1943</v>
      </c>
      <c r="F100" s="1113" t="s">
        <v>1991</v>
      </c>
      <c r="G100" s="1124">
        <v>4000</v>
      </c>
      <c r="L100" s="1128" t="str">
        <f>IF(OR('Points System'!H709="(ii)",'Points System'!H709="(i)"),"(i)","N/A")</f>
        <v>(i)</v>
      </c>
      <c r="M100" s="2646" t="s">
        <v>1957</v>
      </c>
      <c r="N100" s="2647"/>
    </row>
    <row r="101" spans="2:14" ht="15" customHeight="1">
      <c r="E101" s="1118" t="s">
        <v>1961</v>
      </c>
      <c r="F101" s="1046"/>
      <c r="G101" s="1123">
        <f>G96*G99*G100</f>
        <v>3838800.0000000005</v>
      </c>
      <c r="L101" s="1129" t="str">
        <f>'Points System'!H723</f>
        <v>(i)</v>
      </c>
      <c r="M101" s="2646" t="s">
        <v>1430</v>
      </c>
      <c r="N101" s="2647"/>
    </row>
    <row r="102" spans="2:14" ht="15" customHeight="1">
      <c r="L102" s="1128" t="str">
        <f>'Points System'!H735</f>
        <v>N/A</v>
      </c>
      <c r="M102" s="2646" t="s">
        <v>1958</v>
      </c>
      <c r="N102" s="2647"/>
    </row>
    <row r="103" spans="2:14" ht="15" customHeight="1">
      <c r="C103" s="1080" t="s">
        <v>1963</v>
      </c>
      <c r="L103" s="1128" t="str">
        <f>'Points System'!H751</f>
        <v>(i)</v>
      </c>
      <c r="M103" s="2646" t="s">
        <v>1959</v>
      </c>
      <c r="N103" s="2647"/>
    </row>
    <row r="104" spans="2:14" ht="15" customHeight="1" thickBot="1">
      <c r="C104" s="1077" t="s">
        <v>1964</v>
      </c>
      <c r="G104" s="1043"/>
      <c r="L104" s="1130" t="str">
        <f>'Points System'!H763</f>
        <v>(i)</v>
      </c>
      <c r="M104" s="2648" t="s">
        <v>1433</v>
      </c>
      <c r="N104" s="2649"/>
    </row>
    <row r="105" spans="2:14" ht="15" customHeight="1">
      <c r="C105" s="1077" t="s">
        <v>1965</v>
      </c>
      <c r="G105" s="1043"/>
    </row>
    <row r="106" spans="2:14" ht="15" customHeight="1">
      <c r="C106" s="1077" t="s">
        <v>2138</v>
      </c>
      <c r="G106" s="1043" t="s">
        <v>544</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137.10000000000002</v>
      </c>
    </row>
    <row r="112" spans="2:14" ht="15" customHeight="1">
      <c r="E112" s="1084" t="s">
        <v>1943</v>
      </c>
      <c r="F112" s="1113" t="s">
        <v>1991</v>
      </c>
      <c r="G112" s="1124">
        <v>25000</v>
      </c>
    </row>
    <row r="113" spans="2:9" ht="15" customHeight="1">
      <c r="E113" s="1118" t="s">
        <v>1962</v>
      </c>
      <c r="F113" s="1046"/>
      <c r="G113" s="1123">
        <f>G109*G112*G96</f>
        <v>3427500.0000000005</v>
      </c>
    </row>
    <row r="114" spans="2:9" ht="15" customHeight="1">
      <c r="C114" s="1077"/>
      <c r="E114" s="1077"/>
    </row>
    <row r="115" spans="2:9" ht="15" customHeight="1">
      <c r="E115" s="1118" t="s">
        <v>2270</v>
      </c>
      <c r="G115" s="1123">
        <f>G113+G101+G97</f>
        <v>11105100.000000002</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2225</v>
      </c>
      <c r="D119" s="2681"/>
      <c r="E119" s="2681"/>
      <c r="F119" s="2681"/>
    </row>
    <row r="120" spans="2:9" ht="15" customHeight="1">
      <c r="C120" s="2681"/>
      <c r="D120" s="2681"/>
      <c r="E120" s="2681"/>
      <c r="F120" s="2681"/>
      <c r="G120" s="1043"/>
    </row>
    <row r="121" spans="2:9" ht="15" customHeight="1"/>
    <row r="122" spans="2:9" ht="15" customHeight="1">
      <c r="C122" s="1044" t="s">
        <v>2227</v>
      </c>
      <c r="G122" s="2683"/>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2000</v>
      </c>
      <c r="C126" s="1067"/>
      <c r="D126" s="1067"/>
      <c r="E126" s="1067"/>
      <c r="F126" s="1067"/>
      <c r="G126" s="1067"/>
      <c r="H126" s="1067"/>
      <c r="I126" s="1068"/>
    </row>
    <row r="128" spans="2:9">
      <c r="E128" s="1084" t="s">
        <v>581</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1999</v>
      </c>
      <c r="G131" s="1078">
        <f>MEDIAN((Application!CU160:CU217))</f>
        <v>489600</v>
      </c>
    </row>
    <row r="132" spans="2:9" ht="15">
      <c r="D132" s="1046"/>
      <c r="E132" s="1118" t="s">
        <v>2001</v>
      </c>
      <c r="F132" s="1134"/>
      <c r="G132" s="1135">
        <f>((G130-G131)/G131)*0.25</f>
        <v>8.1699346405228761E-4</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1</v>
      </c>
    </row>
    <row r="138" spans="2:9">
      <c r="C138" s="2678" t="s">
        <v>2273</v>
      </c>
      <c r="D138" s="2678"/>
      <c r="E138" s="2678"/>
      <c r="F138" s="2678"/>
    </row>
    <row r="139" spans="2:9">
      <c r="B139" s="1045"/>
      <c r="C139" s="2678"/>
      <c r="D139" s="2678"/>
      <c r="E139" s="2678"/>
      <c r="F139" s="2678"/>
      <c r="G139" s="1043" t="s">
        <v>544</v>
      </c>
    </row>
    <row r="140" spans="2:9">
      <c r="B140" s="1045"/>
      <c r="C140" s="1045"/>
      <c r="D140" s="1045"/>
      <c r="E140" s="1045"/>
      <c r="F140" s="1045"/>
    </row>
    <row r="141" spans="2:9" ht="14.25" customHeight="1">
      <c r="E141" s="1084" t="s">
        <v>2275</v>
      </c>
      <c r="G141" s="1169">
        <f>+Application!AF1023</f>
        <v>580600</v>
      </c>
    </row>
    <row r="143" spans="2:9">
      <c r="E143" s="1084" t="s">
        <v>2277</v>
      </c>
      <c r="G143" s="1168">
        <f>IF(I9=0,0,G141/I9)</f>
        <v>3.5773259396179917E-2</v>
      </c>
    </row>
    <row r="144" spans="2:9">
      <c r="E144" s="1084" t="s">
        <v>2274</v>
      </c>
      <c r="G144" s="1166">
        <f>I9*0.15</f>
        <v>2434500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A10" sqref="A1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908</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SRO/Studio</v>
      </c>
      <c r="B4" s="1082">
        <f>Application!G718</f>
        <v>7</v>
      </c>
      <c r="C4" s="1162"/>
      <c r="D4" s="428">
        <f>Application!O718</f>
        <v>509</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42</v>
      </c>
      <c r="C5" s="1162" t="s">
        <v>384</v>
      </c>
      <c r="D5" s="428">
        <f>Application!O719</f>
        <v>868</v>
      </c>
      <c r="E5" s="429"/>
      <c r="F5" s="1083">
        <v>2370</v>
      </c>
      <c r="G5" s="428">
        <f t="shared" ref="G5:G38" si="2">F5*B5</f>
        <v>99540</v>
      </c>
      <c r="H5" s="429"/>
      <c r="I5" s="428">
        <f t="shared" si="0"/>
        <v>1502</v>
      </c>
      <c r="J5" s="428">
        <f t="shared" si="1"/>
        <v>63084</v>
      </c>
      <c r="K5" s="204"/>
      <c r="L5" s="305"/>
    </row>
    <row r="6" spans="1:12">
      <c r="A6" s="428" t="str">
        <f>Application!B720</f>
        <v>SRO/Studio</v>
      </c>
      <c r="B6" s="1082">
        <f>Application!G720</f>
        <v>50</v>
      </c>
      <c r="C6" s="1162" t="s">
        <v>384</v>
      </c>
      <c r="D6" s="428">
        <f>Application!O720</f>
        <v>1591</v>
      </c>
      <c r="E6" s="429"/>
      <c r="F6" s="1083">
        <v>2370</v>
      </c>
      <c r="G6" s="428">
        <f t="shared" si="2"/>
        <v>118500</v>
      </c>
      <c r="H6" s="429"/>
      <c r="I6" s="428">
        <f t="shared" si="0"/>
        <v>779</v>
      </c>
      <c r="J6" s="428">
        <f t="shared" si="1"/>
        <v>38950</v>
      </c>
      <c r="K6" s="204"/>
      <c r="L6" s="305"/>
    </row>
    <row r="7" spans="1:12">
      <c r="A7" s="428" t="str">
        <f>Application!B721</f>
        <v>1 Bedroom</v>
      </c>
      <c r="B7" s="1082">
        <f>Application!G721</f>
        <v>18</v>
      </c>
      <c r="C7" s="1162"/>
      <c r="D7" s="428">
        <f>Application!O721</f>
        <v>670</v>
      </c>
      <c r="E7" s="429"/>
      <c r="F7" s="1083"/>
      <c r="G7" s="428">
        <f t="shared" si="2"/>
        <v>0</v>
      </c>
      <c r="H7" s="429"/>
      <c r="I7" s="428" t="str">
        <f t="shared" si="0"/>
        <v/>
      </c>
      <c r="J7" s="428" t="str">
        <f t="shared" si="1"/>
        <v/>
      </c>
      <c r="K7" s="204"/>
      <c r="L7" s="305"/>
    </row>
    <row r="8" spans="1:12">
      <c r="A8" s="428" t="str">
        <f>Application!B722</f>
        <v>1 Bedroom</v>
      </c>
      <c r="B8" s="1082">
        <f>Application!G722</f>
        <v>6</v>
      </c>
      <c r="C8" s="1162" t="s">
        <v>384</v>
      </c>
      <c r="D8" s="428">
        <f>Application!O722</f>
        <v>930</v>
      </c>
      <c r="E8" s="429"/>
      <c r="F8" s="1083">
        <v>2815</v>
      </c>
      <c r="G8" s="428">
        <f t="shared" si="2"/>
        <v>16890</v>
      </c>
      <c r="H8" s="429"/>
      <c r="I8" s="428">
        <f t="shared" si="0"/>
        <v>1885</v>
      </c>
      <c r="J8" s="428">
        <f t="shared" si="1"/>
        <v>11310</v>
      </c>
      <c r="K8" s="204"/>
      <c r="L8" s="305"/>
    </row>
    <row r="9" spans="1:12">
      <c r="A9" s="428" t="str">
        <f>Application!B723</f>
        <v>1 Bedroom</v>
      </c>
      <c r="B9" s="1082">
        <f>Application!G723</f>
        <v>24</v>
      </c>
      <c r="C9" s="1162" t="s">
        <v>384</v>
      </c>
      <c r="D9" s="428">
        <f>Application!O723</f>
        <v>1704</v>
      </c>
      <c r="E9" s="429"/>
      <c r="F9" s="1083">
        <v>2815</v>
      </c>
      <c r="G9" s="428">
        <f t="shared" si="2"/>
        <v>67560</v>
      </c>
      <c r="H9" s="429"/>
      <c r="I9" s="428">
        <f t="shared" si="0"/>
        <v>1111</v>
      </c>
      <c r="J9" s="428">
        <f t="shared" si="1"/>
        <v>26664</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178105</v>
      </c>
      <c r="E40" s="429"/>
      <c r="F40" s="429"/>
      <c r="G40" s="432">
        <f>SUM(G4:G38)*12</f>
        <v>3629880</v>
      </c>
      <c r="H40" s="433"/>
      <c r="I40" s="431"/>
      <c r="J40" s="432">
        <f>SUM(J4:J38)*12</f>
        <v>1680096</v>
      </c>
      <c r="K40" s="204"/>
      <c r="L40" s="306"/>
    </row>
    <row r="41" spans="1:12" ht="15">
      <c r="A41" s="430"/>
      <c r="B41" s="431"/>
      <c r="C41" s="431"/>
      <c r="D41" s="433"/>
      <c r="E41" s="429"/>
      <c r="F41" s="429"/>
      <c r="G41" s="433"/>
      <c r="H41" s="433"/>
      <c r="I41" s="431"/>
      <c r="J41" s="433"/>
      <c r="K41" s="204"/>
      <c r="L41" s="306"/>
    </row>
    <row r="42" spans="1:12">
      <c r="A42" s="304" t="s">
        <v>2255</v>
      </c>
    </row>
    <row r="43" spans="1:12">
      <c r="A43" s="2686" t="s">
        <v>2494</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2256</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8" workbookViewId="0">
      <selection activeCell="E50" sqref="E5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2137260</v>
      </c>
      <c r="G4" s="219">
        <f>E4*$C$4</f>
        <v>2190691.5</v>
      </c>
      <c r="I4" s="219">
        <f>G4*$C$4</f>
        <v>2245458.7874999996</v>
      </c>
      <c r="K4" s="219">
        <f>I4*$C$4</f>
        <v>2301595.2571874992</v>
      </c>
      <c r="M4" s="219">
        <f>K4*$C$4</f>
        <v>2359135.1386171863</v>
      </c>
      <c r="O4" s="219">
        <f>M4*$C$4</f>
        <v>2418113.5170826158</v>
      </c>
      <c r="Q4" s="219">
        <f>O4*$C$4</f>
        <v>2478566.3550096811</v>
      </c>
      <c r="S4" s="219">
        <f>Q4*$C$4</f>
        <v>2540530.513884923</v>
      </c>
      <c r="U4" s="219">
        <f>S4*$C$4</f>
        <v>2604043.7767320457</v>
      </c>
      <c r="W4" s="219">
        <f>U4*$C$4</f>
        <v>2669144.8711503465</v>
      </c>
      <c r="Y4" s="219">
        <f>W4*$C$4</f>
        <v>2735873.4929291047</v>
      </c>
      <c r="AA4" s="219">
        <f>Y4*$C$4</f>
        <v>2804270.3302523321</v>
      </c>
      <c r="AC4" s="219">
        <f>AA4*$C$4</f>
        <v>2874377.0885086404</v>
      </c>
      <c r="AE4" s="219">
        <f>AC4*$C$4</f>
        <v>2946236.515721356</v>
      </c>
      <c r="AG4" s="219">
        <f>AE4*$C$4</f>
        <v>3019892.4286143896</v>
      </c>
    </row>
    <row r="5" spans="1:34" s="210" customFormat="1" ht="14.25">
      <c r="B5" s="210" t="s">
        <v>837</v>
      </c>
      <c r="C5" s="238">
        <f>IF(Application!$D$211="Special Needs",(((0.1*Application!$T$212)+(0.05*(1-Application!$T$212)))),0.05)</f>
        <v>0.05</v>
      </c>
      <c r="E5" s="221">
        <f>-E4*$C$5</f>
        <v>-106863</v>
      </c>
      <c r="F5" s="221"/>
      <c r="G5" s="221">
        <f>-G4*$C$5</f>
        <v>-109534.57500000001</v>
      </c>
      <c r="H5" s="221"/>
      <c r="I5" s="221">
        <f>-I4*$C$5</f>
        <v>-112272.93937499999</v>
      </c>
      <c r="J5" s="221"/>
      <c r="K5" s="221">
        <f>-K4*$C$5</f>
        <v>-115079.76285937497</v>
      </c>
      <c r="L5" s="221"/>
      <c r="M5" s="221">
        <f>-M4*$C$5</f>
        <v>-117956.75693085932</v>
      </c>
      <c r="N5" s="221"/>
      <c r="O5" s="221">
        <f>-O4*$C$5</f>
        <v>-120905.67585413079</v>
      </c>
      <c r="P5" s="221"/>
      <c r="Q5" s="221">
        <f>-Q4*$C$5</f>
        <v>-123928.31775048406</v>
      </c>
      <c r="R5" s="221"/>
      <c r="S5" s="221">
        <f>-S4*$C$5</f>
        <v>-127026.52569424616</v>
      </c>
      <c r="T5" s="221"/>
      <c r="U5" s="221">
        <f>-U4*$C$5</f>
        <v>-130202.18883660229</v>
      </c>
      <c r="V5" s="221"/>
      <c r="W5" s="221">
        <f>-W4*$C$5</f>
        <v>-133457.24355751733</v>
      </c>
      <c r="X5" s="221"/>
      <c r="Y5" s="221">
        <f>-Y4*$C$5</f>
        <v>-136793.67464645524</v>
      </c>
      <c r="Z5" s="221"/>
      <c r="AA5" s="221">
        <f>-AA4*$C$5</f>
        <v>-140213.51651261662</v>
      </c>
      <c r="AB5" s="221"/>
      <c r="AC5" s="221">
        <f>-AC4*$C$5</f>
        <v>-143718.85442543201</v>
      </c>
      <c r="AD5" s="221"/>
      <c r="AE5" s="221">
        <f>-AE4*$C$5</f>
        <v>-147311.82578606781</v>
      </c>
      <c r="AF5" s="221"/>
      <c r="AG5" s="221">
        <f>-AG4*$C$5</f>
        <v>-150994.62143071948</v>
      </c>
    </row>
    <row r="6" spans="1:34" s="210" customFormat="1" ht="14.25">
      <c r="A6" s="210" t="s">
        <v>835</v>
      </c>
      <c r="C6" s="237">
        <v>1.0249999999999999</v>
      </c>
      <c r="E6" s="222">
        <f>Application!Z809</f>
        <v>1680096</v>
      </c>
      <c r="F6" s="222"/>
      <c r="G6" s="222">
        <f>E6*$C$6</f>
        <v>1722098.4</v>
      </c>
      <c r="H6" s="222"/>
      <c r="I6" s="222">
        <f>G6*$C$6</f>
        <v>1765150.8599999996</v>
      </c>
      <c r="J6" s="222"/>
      <c r="K6" s="222">
        <f>I6*$C$6</f>
        <v>1809279.6314999994</v>
      </c>
      <c r="L6" s="222"/>
      <c r="M6" s="222">
        <f>K6*$C$6</f>
        <v>1854511.6222874993</v>
      </c>
      <c r="N6" s="222"/>
      <c r="O6" s="222">
        <f>M6*$C$6</f>
        <v>1900874.4128446865</v>
      </c>
      <c r="P6" s="222"/>
      <c r="Q6" s="222">
        <f>O6*$C$6</f>
        <v>1948396.2731658036</v>
      </c>
      <c r="R6" s="222"/>
      <c r="S6" s="222">
        <f>Q6*$C$6</f>
        <v>1997106.1799949484</v>
      </c>
      <c r="T6" s="222"/>
      <c r="U6" s="222">
        <f>S6*$C$6</f>
        <v>2047033.834494822</v>
      </c>
      <c r="V6" s="222"/>
      <c r="W6" s="222">
        <f>U6*$C$6</f>
        <v>2098209.6803571922</v>
      </c>
      <c r="X6" s="222"/>
      <c r="Y6" s="222">
        <f>W6*$C$6</f>
        <v>2150664.9223661218</v>
      </c>
      <c r="Z6" s="222"/>
      <c r="AA6" s="222">
        <f>Y6*$C$6</f>
        <v>2204431.5454252744</v>
      </c>
      <c r="AB6" s="222"/>
      <c r="AC6" s="222">
        <f>AA6*$C$6</f>
        <v>2259542.334060906</v>
      </c>
      <c r="AD6" s="222"/>
      <c r="AE6" s="222">
        <f>AC6*$C$6</f>
        <v>2316030.8924124283</v>
      </c>
      <c r="AF6" s="222"/>
      <c r="AG6" s="222">
        <f>AE6*$C$6</f>
        <v>2373931.6647227388</v>
      </c>
    </row>
    <row r="7" spans="1:34" s="210" customFormat="1" ht="14.25">
      <c r="B7" s="210" t="s">
        <v>837</v>
      </c>
      <c r="C7" s="238">
        <f>IF(Application!$D$211="Special Needs",(((0.1*Application!$T$212)+(0.05*(1-Application!$T$212)))),0.05)</f>
        <v>0.05</v>
      </c>
      <c r="E7" s="221">
        <f>-E6*$C$7</f>
        <v>-84004.800000000003</v>
      </c>
      <c r="F7" s="221"/>
      <c r="G7" s="221">
        <f>-G6*$C$7</f>
        <v>-86104.92</v>
      </c>
      <c r="H7" s="221"/>
      <c r="I7" s="221">
        <f>-I6*$C$7</f>
        <v>-88257.542999999991</v>
      </c>
      <c r="J7" s="221"/>
      <c r="K7" s="221">
        <f>-K6*$C$7</f>
        <v>-90463.981574999983</v>
      </c>
      <c r="L7" s="221"/>
      <c r="M7" s="221">
        <f>-M6*$C$7</f>
        <v>-92725.581114374974</v>
      </c>
      <c r="N7" s="221"/>
      <c r="O7" s="221">
        <f>-O6*$C$7</f>
        <v>-95043.72064223433</v>
      </c>
      <c r="P7" s="221"/>
      <c r="Q7" s="221">
        <f>-Q6*$C$7</f>
        <v>-97419.813658290193</v>
      </c>
      <c r="R7" s="221"/>
      <c r="S7" s="221">
        <f>-S6*$C$7</f>
        <v>-99855.308999747431</v>
      </c>
      <c r="T7" s="221"/>
      <c r="U7" s="221">
        <f>-U6*$C$7</f>
        <v>-102351.6917247411</v>
      </c>
      <c r="V7" s="221"/>
      <c r="W7" s="221">
        <f>-W6*$C$7</f>
        <v>-104910.48401785962</v>
      </c>
      <c r="X7" s="221"/>
      <c r="Y7" s="221">
        <f>-Y6*$C$7</f>
        <v>-107533.2461183061</v>
      </c>
      <c r="Z7" s="221"/>
      <c r="AA7" s="221">
        <f>-AA6*$C$7</f>
        <v>-110221.57727126373</v>
      </c>
      <c r="AB7" s="221"/>
      <c r="AC7" s="221">
        <f>-AC6*$C$7</f>
        <v>-112977.11670304531</v>
      </c>
      <c r="AD7" s="221"/>
      <c r="AE7" s="221">
        <f>-AE6*$C$7</f>
        <v>-115801.54462062143</v>
      </c>
      <c r="AF7" s="221"/>
      <c r="AG7" s="221">
        <f>-AG6*$C$7</f>
        <v>-118696.58323613694</v>
      </c>
    </row>
    <row r="8" spans="1:34" s="210" customFormat="1" ht="14.25">
      <c r="A8" s="210" t="s">
        <v>288</v>
      </c>
      <c r="C8" s="237">
        <v>1.0249999999999999</v>
      </c>
      <c r="E8" s="222">
        <f>Application!Z817</f>
        <v>64648</v>
      </c>
      <c r="F8" s="222"/>
      <c r="G8" s="222">
        <f>E8*$C$8</f>
        <v>66264.2</v>
      </c>
      <c r="H8" s="222"/>
      <c r="I8" s="222">
        <f>G8*$C$8</f>
        <v>67920.804999999993</v>
      </c>
      <c r="J8" s="222"/>
      <c r="K8" s="222">
        <f>I8*$C$8</f>
        <v>69618.825124999988</v>
      </c>
      <c r="L8" s="222"/>
      <c r="M8" s="222">
        <f>K8*$C$8</f>
        <v>71359.295753124985</v>
      </c>
      <c r="N8" s="222"/>
      <c r="O8" s="222">
        <f>M8*$C$8</f>
        <v>73143.278146953104</v>
      </c>
      <c r="P8" s="222"/>
      <c r="Q8" s="222">
        <f>O8*$C$8</f>
        <v>74971.860100626931</v>
      </c>
      <c r="R8" s="222"/>
      <c r="S8" s="222">
        <f>Q8*$C$8</f>
        <v>76846.156603142605</v>
      </c>
      <c r="T8" s="222"/>
      <c r="U8" s="222">
        <f>S8*$C$8</f>
        <v>78767.310518221158</v>
      </c>
      <c r="V8" s="222"/>
      <c r="W8" s="222">
        <f>U8*$C$8</f>
        <v>80736.493281176678</v>
      </c>
      <c r="X8" s="222"/>
      <c r="Y8" s="222">
        <f>W8*$C$8</f>
        <v>82754.905613206094</v>
      </c>
      <c r="Z8" s="222"/>
      <c r="AA8" s="222">
        <f>Y8*$C$8</f>
        <v>84823.778253536235</v>
      </c>
      <c r="AB8" s="222"/>
      <c r="AC8" s="222">
        <f>AA8*$C$8</f>
        <v>86944.372709874631</v>
      </c>
      <c r="AD8" s="222"/>
      <c r="AE8" s="222">
        <f>AC8*$C$8</f>
        <v>89117.982027621489</v>
      </c>
      <c r="AF8" s="222"/>
      <c r="AG8" s="222">
        <f>AE8*$C$8</f>
        <v>91345.931578312011</v>
      </c>
    </row>
    <row r="9" spans="1:34" s="210" customFormat="1" ht="14.25">
      <c r="B9" s="210" t="s">
        <v>837</v>
      </c>
      <c r="C9" s="238">
        <f>IF(Application!$D$211="Special Needs",(((0.1*Application!$T$212)+(0.05*(1-Application!$T$212)))),0.05)</f>
        <v>0.05</v>
      </c>
      <c r="E9" s="221">
        <f>-E8*$C$9</f>
        <v>-3232.4</v>
      </c>
      <c r="F9" s="221"/>
      <c r="G9" s="221">
        <f>-G8*$C$9</f>
        <v>-3313.21</v>
      </c>
      <c r="H9" s="221"/>
      <c r="I9" s="221">
        <f>-I8*$C$9</f>
        <v>-3396.04025</v>
      </c>
      <c r="J9" s="221"/>
      <c r="K9" s="221">
        <f>-K8*$C$9</f>
        <v>-3480.9412562499997</v>
      </c>
      <c r="L9" s="221"/>
      <c r="M9" s="221">
        <f>-M8*$C$9</f>
        <v>-3567.9647876562494</v>
      </c>
      <c r="N9" s="221"/>
      <c r="O9" s="221">
        <f>-O8*$C$9</f>
        <v>-3657.1639073476554</v>
      </c>
      <c r="P9" s="221"/>
      <c r="Q9" s="221">
        <f>-Q8*$C$9</f>
        <v>-3748.5930050313468</v>
      </c>
      <c r="R9" s="221"/>
      <c r="S9" s="221">
        <f>-S8*$C$9</f>
        <v>-3842.3078301571304</v>
      </c>
      <c r="T9" s="221"/>
      <c r="U9" s="221">
        <f>-U8*$C$9</f>
        <v>-3938.3655259110583</v>
      </c>
      <c r="V9" s="221"/>
      <c r="W9" s="221">
        <f>-W8*$C$9</f>
        <v>-4036.8246640588341</v>
      </c>
      <c r="X9" s="221"/>
      <c r="Y9" s="221">
        <f>-Y8*$C$9</f>
        <v>-4137.7452806603051</v>
      </c>
      <c r="Z9" s="221"/>
      <c r="AA9" s="221">
        <f>-AA8*$C$9</f>
        <v>-4241.1889126768119</v>
      </c>
      <c r="AB9" s="221"/>
      <c r="AC9" s="221">
        <f>-AC8*$C$9</f>
        <v>-4347.2186354937321</v>
      </c>
      <c r="AD9" s="221"/>
      <c r="AE9" s="221">
        <f>-AE8*$C$9</f>
        <v>-4455.8991013810746</v>
      </c>
      <c r="AF9" s="221"/>
      <c r="AG9" s="221">
        <f>-AG8*$C$9</f>
        <v>-4567.2965789156005</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3687903.8000000003</v>
      </c>
      <c r="G11" s="223">
        <f>SUM(G4:G10)</f>
        <v>3780101.3950000005</v>
      </c>
      <c r="I11" s="223">
        <f>SUM(I4:I10)</f>
        <v>3874603.929874999</v>
      </c>
      <c r="K11" s="223">
        <f>SUM(K4:K10)</f>
        <v>3971469.0281218737</v>
      </c>
      <c r="M11" s="223">
        <f>SUM(M4:M10)</f>
        <v>4070755.7538249199</v>
      </c>
      <c r="O11" s="223">
        <f>SUM(O4:O10)</f>
        <v>4172524.6476705433</v>
      </c>
      <c r="Q11" s="223">
        <f>SUM(Q4:Q10)</f>
        <v>4276837.7638623053</v>
      </c>
      <c r="S11" s="223">
        <f>SUM(S4:S10)</f>
        <v>4383758.707958864</v>
      </c>
      <c r="U11" s="223">
        <f>SUM(U4:U10)</f>
        <v>4493352.6756578349</v>
      </c>
      <c r="W11" s="223">
        <f>SUM(W4:W10)</f>
        <v>4605686.4925492797</v>
      </c>
      <c r="Y11" s="223">
        <f>SUM(Y4:Y10)</f>
        <v>4720828.6548630102</v>
      </c>
      <c r="AA11" s="223">
        <f>SUM(AA4:AA10)</f>
        <v>4838849.3712345865</v>
      </c>
      <c r="AC11" s="223">
        <f>SUM(AC4:AC10)</f>
        <v>4959820.6055154502</v>
      </c>
      <c r="AE11" s="223">
        <f>SUM(AE4:AE10)</f>
        <v>5083816.1206533369</v>
      </c>
      <c r="AG11" s="223">
        <f>SUM(AG4:AG10)</f>
        <v>5210911.5236696675</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65592.12</v>
      </c>
      <c r="G15" s="219">
        <f>E15*$C$14</f>
        <v>67887.844199999992</v>
      </c>
      <c r="I15" s="219">
        <f>G15*$C$14</f>
        <v>70263.918746999989</v>
      </c>
      <c r="K15" s="219">
        <f>I15*$C$14</f>
        <v>72723.155903144987</v>
      </c>
      <c r="M15" s="219">
        <f>K15*$C$14</f>
        <v>75268.466359755053</v>
      </c>
      <c r="O15" s="219">
        <f>M15*$C$14</f>
        <v>77902.862682346473</v>
      </c>
      <c r="Q15" s="219">
        <f>O15*$C$14</f>
        <v>80629.462876228587</v>
      </c>
      <c r="S15" s="219">
        <f>Q15*$C$14</f>
        <v>83451.494076896575</v>
      </c>
      <c r="U15" s="219">
        <f>S15*$C$14</f>
        <v>86372.296369587944</v>
      </c>
      <c r="W15" s="219">
        <f>U15*$C$14</f>
        <v>89395.32674252351</v>
      </c>
      <c r="Y15" s="219">
        <f>W15*$C$14</f>
        <v>92524.163178511822</v>
      </c>
      <c r="AA15" s="219">
        <f>Y15*$C$14</f>
        <v>95762.508889759731</v>
      </c>
      <c r="AC15" s="219">
        <f>AA15*$C$14</f>
        <v>99114.196700901317</v>
      </c>
      <c r="AE15" s="219">
        <f>AC15*$C$14</f>
        <v>102583.19358543286</v>
      </c>
      <c r="AG15" s="219">
        <f>AE15*$C$14</f>
        <v>106173.605360923</v>
      </c>
    </row>
    <row r="16" spans="1:34" s="210" customFormat="1" ht="14.25">
      <c r="A16" s="210" t="s">
        <v>344</v>
      </c>
      <c r="C16" s="233"/>
      <c r="E16" s="222">
        <f>Application!W849</f>
        <v>112000</v>
      </c>
      <c r="F16" s="222"/>
      <c r="G16" s="222">
        <f t="shared" ref="G16:AG21" si="0">E16*$C$14</f>
        <v>115919.99999999999</v>
      </c>
      <c r="H16" s="222"/>
      <c r="I16" s="222">
        <f t="shared" si="0"/>
        <v>119977.19999999998</v>
      </c>
      <c r="J16" s="222"/>
      <c r="K16" s="222">
        <f t="shared" si="0"/>
        <v>124176.40199999997</v>
      </c>
      <c r="L16" s="222"/>
      <c r="M16" s="222">
        <f t="shared" si="0"/>
        <v>128522.57606999997</v>
      </c>
      <c r="N16" s="222"/>
      <c r="O16" s="222">
        <f t="shared" si="0"/>
        <v>133020.86623244995</v>
      </c>
      <c r="P16" s="222"/>
      <c r="Q16" s="222">
        <f t="shared" si="0"/>
        <v>137676.59655058567</v>
      </c>
      <c r="R16" s="222"/>
      <c r="S16" s="222">
        <f t="shared" si="0"/>
        <v>142495.27742985616</v>
      </c>
      <c r="T16" s="222"/>
      <c r="U16" s="222">
        <f t="shared" si="0"/>
        <v>147482.61213990112</v>
      </c>
      <c r="V16" s="222"/>
      <c r="W16" s="222">
        <f t="shared" si="0"/>
        <v>152644.50356479763</v>
      </c>
      <c r="X16" s="222"/>
      <c r="Y16" s="222">
        <f t="shared" si="0"/>
        <v>157987.06118956555</v>
      </c>
      <c r="Z16" s="222"/>
      <c r="AA16" s="222">
        <f t="shared" si="0"/>
        <v>163516.60833120032</v>
      </c>
      <c r="AB16" s="222"/>
      <c r="AC16" s="222">
        <f t="shared" si="0"/>
        <v>169239.68962279233</v>
      </c>
      <c r="AD16" s="222"/>
      <c r="AE16" s="222">
        <f t="shared" si="0"/>
        <v>175163.07875959005</v>
      </c>
      <c r="AF16" s="222"/>
      <c r="AG16" s="222">
        <f t="shared" si="0"/>
        <v>181293.78651617569</v>
      </c>
    </row>
    <row r="17" spans="1:33" s="210" customFormat="1" ht="14.25">
      <c r="A17" s="210" t="s">
        <v>560</v>
      </c>
      <c r="C17" s="233"/>
      <c r="E17" s="222">
        <f>Application!W855</f>
        <v>252642</v>
      </c>
      <c r="F17" s="222"/>
      <c r="G17" s="222">
        <f t="shared" si="0"/>
        <v>261484.46999999997</v>
      </c>
      <c r="H17" s="222"/>
      <c r="I17" s="222">
        <f t="shared" si="0"/>
        <v>270636.42644999997</v>
      </c>
      <c r="J17" s="222"/>
      <c r="K17" s="222">
        <f t="shared" si="0"/>
        <v>280108.70137574995</v>
      </c>
      <c r="L17" s="222"/>
      <c r="M17" s="222">
        <f t="shared" si="0"/>
        <v>289912.50592390116</v>
      </c>
      <c r="N17" s="222"/>
      <c r="O17" s="222">
        <f t="shared" si="0"/>
        <v>300059.44363123766</v>
      </c>
      <c r="P17" s="222"/>
      <c r="Q17" s="222">
        <f t="shared" si="0"/>
        <v>310561.52415833098</v>
      </c>
      <c r="R17" s="222"/>
      <c r="S17" s="222">
        <f t="shared" si="0"/>
        <v>321431.17750387255</v>
      </c>
      <c r="T17" s="222"/>
      <c r="U17" s="222">
        <f t="shared" si="0"/>
        <v>332681.26871650806</v>
      </c>
      <c r="V17" s="222"/>
      <c r="W17" s="222">
        <f t="shared" si="0"/>
        <v>344325.1131215858</v>
      </c>
      <c r="X17" s="222"/>
      <c r="Y17" s="222">
        <f t="shared" si="0"/>
        <v>356376.49208084127</v>
      </c>
      <c r="Z17" s="222"/>
      <c r="AA17" s="222">
        <f t="shared" si="0"/>
        <v>368849.6693036707</v>
      </c>
      <c r="AB17" s="222"/>
      <c r="AC17" s="222">
        <f t="shared" si="0"/>
        <v>381759.40772929916</v>
      </c>
      <c r="AD17" s="222"/>
      <c r="AE17" s="222">
        <f t="shared" si="0"/>
        <v>395120.98699982458</v>
      </c>
      <c r="AF17" s="222"/>
      <c r="AG17" s="222">
        <f t="shared" si="0"/>
        <v>408950.22154481843</v>
      </c>
    </row>
    <row r="18" spans="1:33" s="210" customFormat="1" ht="14.25">
      <c r="A18" s="210" t="s">
        <v>841</v>
      </c>
      <c r="C18" s="233"/>
      <c r="E18" s="222">
        <f>Application!W862</f>
        <v>288124</v>
      </c>
      <c r="F18" s="222"/>
      <c r="G18" s="222">
        <f t="shared" si="0"/>
        <v>298208.33999999997</v>
      </c>
      <c r="H18" s="222"/>
      <c r="I18" s="222">
        <f t="shared" si="0"/>
        <v>308645.63189999992</v>
      </c>
      <c r="J18" s="222"/>
      <c r="K18" s="222">
        <f t="shared" si="0"/>
        <v>319448.22901649988</v>
      </c>
      <c r="L18" s="222"/>
      <c r="M18" s="222">
        <f t="shared" si="0"/>
        <v>330628.91703207733</v>
      </c>
      <c r="N18" s="222"/>
      <c r="O18" s="222">
        <f t="shared" si="0"/>
        <v>342200.92912819999</v>
      </c>
      <c r="P18" s="222"/>
      <c r="Q18" s="222">
        <f t="shared" si="0"/>
        <v>354177.96164768696</v>
      </c>
      <c r="R18" s="222"/>
      <c r="S18" s="222">
        <f t="shared" si="0"/>
        <v>366574.19030535599</v>
      </c>
      <c r="T18" s="222"/>
      <c r="U18" s="222">
        <f t="shared" si="0"/>
        <v>379404.28696604341</v>
      </c>
      <c r="V18" s="222"/>
      <c r="W18" s="222">
        <f t="shared" si="0"/>
        <v>392683.43700985488</v>
      </c>
      <c r="X18" s="222"/>
      <c r="Y18" s="222">
        <f t="shared" si="0"/>
        <v>406427.35730519978</v>
      </c>
      <c r="Z18" s="222"/>
      <c r="AA18" s="222">
        <f t="shared" si="0"/>
        <v>420652.31481088174</v>
      </c>
      <c r="AB18" s="222"/>
      <c r="AC18" s="222">
        <f t="shared" si="0"/>
        <v>435375.14582926256</v>
      </c>
      <c r="AD18" s="222"/>
      <c r="AE18" s="222">
        <f t="shared" si="0"/>
        <v>450613.2759332867</v>
      </c>
      <c r="AF18" s="222"/>
      <c r="AG18" s="222">
        <f t="shared" si="0"/>
        <v>466384.7405909517</v>
      </c>
    </row>
    <row r="19" spans="1:33" s="210" customFormat="1" ht="14.25">
      <c r="A19" s="210" t="s">
        <v>155</v>
      </c>
      <c r="C19" s="233"/>
      <c r="E19" s="222">
        <f>Application!W863</f>
        <v>84422</v>
      </c>
      <c r="F19" s="222"/>
      <c r="G19" s="222">
        <f t="shared" si="0"/>
        <v>87376.76999999999</v>
      </c>
      <c r="H19" s="222"/>
      <c r="I19" s="222">
        <f t="shared" si="0"/>
        <v>90434.956949999978</v>
      </c>
      <c r="J19" s="222"/>
      <c r="K19" s="222">
        <f t="shared" si="0"/>
        <v>93600.180443249963</v>
      </c>
      <c r="L19" s="222"/>
      <c r="M19" s="222">
        <f t="shared" si="0"/>
        <v>96876.18675876371</v>
      </c>
      <c r="N19" s="222"/>
      <c r="O19" s="222">
        <f t="shared" si="0"/>
        <v>100266.85329532043</v>
      </c>
      <c r="P19" s="222"/>
      <c r="Q19" s="222">
        <f t="shared" si="0"/>
        <v>103776.19316065664</v>
      </c>
      <c r="R19" s="222"/>
      <c r="S19" s="222">
        <f t="shared" si="0"/>
        <v>107408.35992127961</v>
      </c>
      <c r="T19" s="222"/>
      <c r="U19" s="222">
        <f t="shared" si="0"/>
        <v>111167.6525185244</v>
      </c>
      <c r="V19" s="222"/>
      <c r="W19" s="222">
        <f t="shared" si="0"/>
        <v>115058.52035667274</v>
      </c>
      <c r="X19" s="222"/>
      <c r="Y19" s="222">
        <f t="shared" si="0"/>
        <v>119085.56856915628</v>
      </c>
      <c r="Z19" s="222"/>
      <c r="AA19" s="222">
        <f t="shared" si="0"/>
        <v>123253.56346907675</v>
      </c>
      <c r="AB19" s="222"/>
      <c r="AC19" s="222">
        <f t="shared" si="0"/>
        <v>127567.43819049442</v>
      </c>
      <c r="AD19" s="222"/>
      <c r="AE19" s="222">
        <f t="shared" si="0"/>
        <v>132032.29852716171</v>
      </c>
      <c r="AF19" s="222"/>
      <c r="AG19" s="222">
        <f t="shared" si="0"/>
        <v>136653.42897561236</v>
      </c>
    </row>
    <row r="20" spans="1:33" s="210" customFormat="1" ht="14.25">
      <c r="A20" s="210" t="s">
        <v>389</v>
      </c>
      <c r="C20" s="233"/>
      <c r="E20" s="222">
        <f>Application!W872</f>
        <v>124389</v>
      </c>
      <c r="F20" s="222"/>
      <c r="G20" s="222">
        <f t="shared" si="0"/>
        <v>128742.61499999999</v>
      </c>
      <c r="H20" s="222"/>
      <c r="I20" s="222">
        <f t="shared" si="0"/>
        <v>133248.60652499998</v>
      </c>
      <c r="J20" s="222"/>
      <c r="K20" s="222">
        <f t="shared" si="0"/>
        <v>137912.30775337497</v>
      </c>
      <c r="L20" s="222"/>
      <c r="M20" s="222">
        <f t="shared" si="0"/>
        <v>142739.23852474309</v>
      </c>
      <c r="N20" s="222"/>
      <c r="O20" s="222">
        <f t="shared" si="0"/>
        <v>147735.1118731091</v>
      </c>
      <c r="P20" s="222"/>
      <c r="Q20" s="222">
        <f t="shared" si="0"/>
        <v>152905.84078866791</v>
      </c>
      <c r="R20" s="222"/>
      <c r="S20" s="222">
        <f t="shared" si="0"/>
        <v>158257.54521627128</v>
      </c>
      <c r="T20" s="222"/>
      <c r="U20" s="222">
        <f t="shared" si="0"/>
        <v>163796.55929884076</v>
      </c>
      <c r="V20" s="222"/>
      <c r="W20" s="222">
        <f t="shared" si="0"/>
        <v>169529.43887430016</v>
      </c>
      <c r="X20" s="222"/>
      <c r="Y20" s="222">
        <f t="shared" si="0"/>
        <v>175462.96923490067</v>
      </c>
      <c r="Z20" s="222"/>
      <c r="AA20" s="222">
        <f t="shared" si="0"/>
        <v>181604.17315812217</v>
      </c>
      <c r="AB20" s="222"/>
      <c r="AC20" s="222">
        <f t="shared" si="0"/>
        <v>187960.31921865643</v>
      </c>
      <c r="AD20" s="222"/>
      <c r="AE20" s="222">
        <f t="shared" si="0"/>
        <v>194538.93039130938</v>
      </c>
      <c r="AF20" s="222"/>
      <c r="AG20" s="222">
        <f t="shared" si="0"/>
        <v>201347.79295500519</v>
      </c>
    </row>
    <row r="21" spans="1:33" s="210" customFormat="1" ht="14.25">
      <c r="A21" s="226" t="s">
        <v>961</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842</v>
      </c>
      <c r="C22" s="233"/>
      <c r="E22" s="223">
        <f>SUM(E15:E21)</f>
        <v>927169.12</v>
      </c>
      <c r="G22" s="223">
        <f>SUM(G15:G21)</f>
        <v>959620.0392</v>
      </c>
      <c r="I22" s="223">
        <f>SUM(I15:I21)</f>
        <v>993206.74057199981</v>
      </c>
      <c r="K22" s="223">
        <f>SUM(K15:K21)</f>
        <v>1027968.9764920198</v>
      </c>
      <c r="M22" s="223">
        <f>SUM(M15:M21)</f>
        <v>1063947.8906692404</v>
      </c>
      <c r="O22" s="223">
        <f>SUM(O15:O21)</f>
        <v>1101186.0668426636</v>
      </c>
      <c r="Q22" s="223">
        <f>SUM(Q15:Q21)</f>
        <v>1139727.5791821568</v>
      </c>
      <c r="S22" s="223">
        <f>SUM(S15:S21)</f>
        <v>1179618.044453532</v>
      </c>
      <c r="U22" s="223">
        <f>SUM(U15:U21)</f>
        <v>1220904.6760094056</v>
      </c>
      <c r="W22" s="223">
        <f>SUM(W15:W21)</f>
        <v>1263636.3396697347</v>
      </c>
      <c r="Y22" s="223">
        <f>SUM(Y15:Y21)</f>
        <v>1307863.6115581756</v>
      </c>
      <c r="AA22" s="223">
        <f>SUM(AA15:AA21)</f>
        <v>1353638.8379627115</v>
      </c>
      <c r="AC22" s="223">
        <f>SUM(AC15:AC21)</f>
        <v>1401016.1972914063</v>
      </c>
      <c r="AE22" s="223">
        <f>SUM(AE15:AE21)</f>
        <v>1450051.764196605</v>
      </c>
      <c r="AG22" s="223">
        <f>SUM(AG15:AG21)</f>
        <v>1500803.5759434863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47132</v>
      </c>
      <c r="F27" s="222"/>
      <c r="G27" s="222">
        <f>E27*$C$27</f>
        <v>48781.619999999995</v>
      </c>
      <c r="H27" s="222"/>
      <c r="I27" s="222">
        <f>G27*$C$27</f>
        <v>50488.976699999992</v>
      </c>
      <c r="J27" s="222"/>
      <c r="K27" s="222">
        <f>I27*$C$27</f>
        <v>52256.090884499987</v>
      </c>
      <c r="L27" s="222"/>
      <c r="M27" s="222">
        <f>K27*$C$27</f>
        <v>54085.05406545748</v>
      </c>
      <c r="N27" s="222"/>
      <c r="O27" s="222">
        <f>M27*$C$27</f>
        <v>55978.030957748488</v>
      </c>
      <c r="P27" s="222"/>
      <c r="Q27" s="222">
        <f>O27*$C$27</f>
        <v>57937.262041269678</v>
      </c>
      <c r="R27" s="222"/>
      <c r="S27" s="222">
        <f>Q27*$C$27</f>
        <v>59965.066212714111</v>
      </c>
      <c r="T27" s="222"/>
      <c r="U27" s="222">
        <f>S27*$C$27</f>
        <v>62063.843530159102</v>
      </c>
      <c r="V27" s="222"/>
      <c r="W27" s="222">
        <f>U27*$C$27</f>
        <v>64236.078053714664</v>
      </c>
      <c r="X27" s="222"/>
      <c r="Y27" s="222">
        <f>W27*$C$27</f>
        <v>66484.340785594672</v>
      </c>
      <c r="Z27" s="222"/>
      <c r="AA27" s="222">
        <f>Y27*$C$27</f>
        <v>68811.292713090486</v>
      </c>
      <c r="AB27" s="222"/>
      <c r="AC27" s="222">
        <f>AA27*$C$27</f>
        <v>71219.687958048642</v>
      </c>
      <c r="AD27" s="222"/>
      <c r="AE27" s="222">
        <f>AC27*$C$27</f>
        <v>73712.377036580336</v>
      </c>
      <c r="AF27" s="222"/>
      <c r="AG27" s="222">
        <f>AE27*$C$27</f>
        <v>76292.310232860647</v>
      </c>
    </row>
    <row r="28" spans="1:33" s="210" customFormat="1" ht="14.25">
      <c r="A28" s="210" t="s">
        <v>845</v>
      </c>
      <c r="C28" s="237"/>
      <c r="E28" s="222">
        <f>Application!AC889</f>
        <v>44700</v>
      </c>
      <c r="F28" s="222"/>
      <c r="G28" s="222">
        <f>$E$28</f>
        <v>44700</v>
      </c>
      <c r="H28" s="222"/>
      <c r="I28" s="222">
        <f>$E$28</f>
        <v>44700</v>
      </c>
      <c r="J28" s="222"/>
      <c r="K28" s="222">
        <f>$E$28</f>
        <v>44700</v>
      </c>
      <c r="L28" s="222"/>
      <c r="M28" s="222">
        <f>$E$28</f>
        <v>44700</v>
      </c>
      <c r="N28" s="222"/>
      <c r="O28" s="222">
        <f>$E$28</f>
        <v>44700</v>
      </c>
      <c r="P28" s="222"/>
      <c r="Q28" s="222">
        <f>$E$28</f>
        <v>44700</v>
      </c>
      <c r="R28" s="222"/>
      <c r="S28" s="222">
        <f>$E$28</f>
        <v>44700</v>
      </c>
      <c r="T28" s="222"/>
      <c r="U28" s="222">
        <f>$E$28</f>
        <v>44700</v>
      </c>
      <c r="V28" s="222"/>
      <c r="W28" s="222">
        <f>$E$28</f>
        <v>44700</v>
      </c>
      <c r="X28" s="222"/>
      <c r="Y28" s="222">
        <f>$E$28</f>
        <v>44700</v>
      </c>
      <c r="Z28" s="222"/>
      <c r="AA28" s="222">
        <f>$E$28</f>
        <v>44700</v>
      </c>
      <c r="AB28" s="222"/>
      <c r="AC28" s="222">
        <f>$E$28</f>
        <v>44700</v>
      </c>
      <c r="AD28" s="222"/>
      <c r="AE28" s="222">
        <f>$E$28</f>
        <v>44700</v>
      </c>
      <c r="AF28" s="222"/>
      <c r="AG28" s="222">
        <f>$E$28</f>
        <v>44700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843</v>
      </c>
      <c r="C30" s="237">
        <v>1.02</v>
      </c>
      <c r="E30" s="222">
        <f>Application!AC891</f>
        <v>125</v>
      </c>
      <c r="F30" s="222"/>
      <c r="G30" s="222">
        <f>E30*$C$30</f>
        <v>127.5</v>
      </c>
      <c r="H30" s="222"/>
      <c r="I30" s="222">
        <f>G30*$C$30</f>
        <v>130.05000000000001</v>
      </c>
      <c r="J30" s="222"/>
      <c r="K30" s="222">
        <f>I30*$C$30</f>
        <v>132.65100000000001</v>
      </c>
      <c r="L30" s="222"/>
      <c r="M30" s="222">
        <f>K30*$C$30</f>
        <v>135.30402000000001</v>
      </c>
      <c r="N30" s="222"/>
      <c r="O30" s="222">
        <f>M30*$C$30</f>
        <v>138.0101004</v>
      </c>
      <c r="P30" s="222"/>
      <c r="Q30" s="222">
        <f>O30*$C$30</f>
        <v>140.77030240799999</v>
      </c>
      <c r="R30" s="222"/>
      <c r="S30" s="222">
        <f>Q30*$C$30</f>
        <v>143.58570845616001</v>
      </c>
      <c r="T30" s="222"/>
      <c r="U30" s="222">
        <f>S30*$C$30</f>
        <v>146.45742262528321</v>
      </c>
      <c r="V30" s="222"/>
      <c r="W30" s="222">
        <f>U30*$C$30</f>
        <v>149.38657107778889</v>
      </c>
      <c r="X30" s="222"/>
      <c r="Y30" s="222">
        <f>W30*$C$30</f>
        <v>152.37430249934468</v>
      </c>
      <c r="Z30" s="222"/>
      <c r="AA30" s="222">
        <f>Y30*$C$30</f>
        <v>155.42178854933158</v>
      </c>
      <c r="AB30" s="222"/>
      <c r="AC30" s="222">
        <f>AA30*$C$30</f>
        <v>158.53022432031821</v>
      </c>
      <c r="AD30" s="222"/>
      <c r="AE30" s="222">
        <f>AC30*$C$30</f>
        <v>161.70082880672459</v>
      </c>
      <c r="AF30" s="222"/>
      <c r="AG30" s="222">
        <f>AE30*$C$30</f>
        <v>164.93484538285909</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1019126.12</v>
      </c>
      <c r="G35" s="223">
        <f>SUM(G22:G33)</f>
        <v>1053229.1592000001</v>
      </c>
      <c r="I35" s="223">
        <f>SUM(I22:I33)</f>
        <v>1088525.767272</v>
      </c>
      <c r="K35" s="223">
        <f>SUM(K22:K33)</f>
        <v>1125057.7183765199</v>
      </c>
      <c r="M35" s="223">
        <f>SUM(M22:M33)</f>
        <v>1162868.2487546979</v>
      </c>
      <c r="O35" s="223">
        <f>SUM(O22:O33)</f>
        <v>1202002.1079008121</v>
      </c>
      <c r="Q35" s="223">
        <f>SUM(Q22:Q33)</f>
        <v>1242505.6115258343</v>
      </c>
      <c r="S35" s="223">
        <f>SUM(S22:S33)</f>
        <v>1284426.6963747023</v>
      </c>
      <c r="U35" s="223">
        <f>SUM(U22:U33)</f>
        <v>1327814.9769621901</v>
      </c>
      <c r="W35" s="223">
        <f>SUM(W22:W33)</f>
        <v>1372721.8042945273</v>
      </c>
      <c r="Y35" s="223">
        <f>SUM(Y22:Y33)</f>
        <v>1419200.3266462695</v>
      </c>
      <c r="AA35" s="223">
        <f>SUM(AA22:AA33)</f>
        <v>1467305.5524643513</v>
      </c>
      <c r="AC35" s="223">
        <f>SUM(AC22:AC33)</f>
        <v>1517094.4154737752</v>
      </c>
      <c r="AE35" s="223">
        <f>SUM(AE22:AE33)</f>
        <v>1568625.842061992</v>
      </c>
      <c r="AG35" s="223">
        <f>SUM(AG22:AG33)</f>
        <v>1621960.8210217298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2668777.6800000002</v>
      </c>
      <c r="G37" s="223">
        <f>G11-G35</f>
        <v>2726872.2358000004</v>
      </c>
      <c r="I37" s="223">
        <f>I11-I35</f>
        <v>2786078.1626029992</v>
      </c>
      <c r="K37" s="223">
        <f>K11-K35</f>
        <v>2846411.3097453536</v>
      </c>
      <c r="M37" s="223">
        <f>M11-M35</f>
        <v>2907887.5050702221</v>
      </c>
      <c r="O37" s="223">
        <f>O11-O35</f>
        <v>2970522.5397697315</v>
      </c>
      <c r="Q37" s="223">
        <f>Q11-Q35</f>
        <v>3034332.1523364708</v>
      </c>
      <c r="S37" s="223">
        <f>S11-S35</f>
        <v>3099332.0115841618</v>
      </c>
      <c r="U37" s="223">
        <f>U11-U35</f>
        <v>3165537.6986956447</v>
      </c>
      <c r="W37" s="223">
        <f>W11-W35</f>
        <v>3232964.6882547522</v>
      </c>
      <c r="Y37" s="223">
        <f>Y11-Y35</f>
        <v>3301628.3282167409</v>
      </c>
      <c r="AA37" s="223">
        <f>AA11-AA35</f>
        <v>3371543.8187702354</v>
      </c>
      <c r="AC37" s="223">
        <f>AC11-AC35</f>
        <v>3442726.1900416752</v>
      </c>
      <c r="AE37" s="223">
        <f>AE11-AE35</f>
        <v>3515190.2785913451</v>
      </c>
      <c r="AG37" s="223">
        <f>AG11-AG35</f>
        <v>3588950.7026479375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 MTEB</v>
      </c>
      <c r="B40" s="226"/>
      <c r="C40" s="220"/>
      <c r="E40" s="222">
        <f>Application!AF627</f>
        <v>1011459.1727431535</v>
      </c>
      <c r="F40" s="222"/>
      <c r="G40" s="222">
        <f>$E$40</f>
        <v>1011459.1727431535</v>
      </c>
      <c r="H40" s="222"/>
      <c r="I40" s="222">
        <f>$E$40</f>
        <v>1011459.1727431535</v>
      </c>
      <c r="J40" s="222"/>
      <c r="K40" s="222">
        <f>$E$40</f>
        <v>1011459.1727431535</v>
      </c>
      <c r="L40" s="222"/>
      <c r="M40" s="222">
        <f>$E$40</f>
        <v>1011459.1727431535</v>
      </c>
      <c r="N40" s="222"/>
      <c r="O40" s="222">
        <f>$E$40</f>
        <v>1011459.1727431535</v>
      </c>
      <c r="P40" s="222"/>
      <c r="Q40" s="222">
        <f>$E$40</f>
        <v>1011459.1727431535</v>
      </c>
      <c r="R40" s="222"/>
      <c r="S40" s="222">
        <f>$E$40</f>
        <v>1011459.1727431535</v>
      </c>
      <c r="T40" s="222"/>
      <c r="U40" s="222">
        <f>$E$40</f>
        <v>1011459.1727431535</v>
      </c>
      <c r="V40" s="222"/>
      <c r="W40" s="222">
        <f>$E$40</f>
        <v>1011459.1727431535</v>
      </c>
      <c r="X40" s="222"/>
      <c r="Y40" s="222">
        <f>$E$40</f>
        <v>1011459.1727431535</v>
      </c>
      <c r="Z40" s="222"/>
      <c r="AA40" s="222">
        <f>$E$40</f>
        <v>1011459.1727431535</v>
      </c>
      <c r="AB40" s="222"/>
      <c r="AC40" s="222">
        <f>$E$40</f>
        <v>1011459.1727431535</v>
      </c>
      <c r="AD40" s="222"/>
      <c r="AE40" s="222">
        <f>$E$40</f>
        <v>1011459.1727431535</v>
      </c>
      <c r="AF40" s="222"/>
      <c r="AG40" s="222">
        <f>$E$40</f>
        <v>1011459.1727431535</v>
      </c>
    </row>
    <row r="41" spans="1:33" s="210" customFormat="1" ht="14.25">
      <c r="A41" s="225" t="str">
        <f>Application!C628</f>
        <v>Berkadia - Tax-Exempt</v>
      </c>
      <c r="B41" s="226"/>
      <c r="C41" s="220"/>
      <c r="E41" s="222">
        <f>Application!AF628</f>
        <v>342761.88848350861</v>
      </c>
      <c r="F41" s="222"/>
      <c r="G41" s="222">
        <f>$E$41</f>
        <v>342761.88848350861</v>
      </c>
      <c r="H41" s="222"/>
      <c r="I41" s="222">
        <f>$E$41</f>
        <v>342761.88848350861</v>
      </c>
      <c r="J41" s="222"/>
      <c r="K41" s="222">
        <f>$E$41</f>
        <v>342761.88848350861</v>
      </c>
      <c r="L41" s="222"/>
      <c r="M41" s="222">
        <f>$E$41</f>
        <v>342761.88848350861</v>
      </c>
      <c r="N41" s="222"/>
      <c r="O41" s="222">
        <f>$E$41</f>
        <v>342761.88848350861</v>
      </c>
      <c r="P41" s="222"/>
      <c r="Q41" s="222">
        <f>$E$41</f>
        <v>342761.88848350861</v>
      </c>
      <c r="R41" s="222"/>
      <c r="S41" s="222">
        <f>$E$41</f>
        <v>342761.88848350861</v>
      </c>
      <c r="T41" s="222"/>
      <c r="U41" s="222">
        <f>$E$41</f>
        <v>342761.88848350861</v>
      </c>
      <c r="V41" s="222"/>
      <c r="W41" s="222">
        <f>$E$41</f>
        <v>342761.88848350861</v>
      </c>
      <c r="X41" s="222"/>
      <c r="Y41" s="222">
        <f>$E$41</f>
        <v>342761.88848350861</v>
      </c>
      <c r="Z41" s="222"/>
      <c r="AA41" s="222">
        <f>$E$41</f>
        <v>342761.88848350861</v>
      </c>
      <c r="AB41" s="222"/>
      <c r="AC41" s="222">
        <f>$E$41</f>
        <v>342761.88848350861</v>
      </c>
      <c r="AD41" s="222"/>
      <c r="AE41" s="222">
        <f>$E$41</f>
        <v>342761.88848350861</v>
      </c>
      <c r="AF41" s="222"/>
      <c r="AG41" s="222">
        <f>$E$41</f>
        <v>342761.88848350861</v>
      </c>
    </row>
    <row r="42" spans="1:33" s="210" customFormat="1" ht="14.25">
      <c r="A42" s="225" t="str">
        <f>Application!C629</f>
        <v>Berkadis - Taxable</v>
      </c>
      <c r="B42" s="226"/>
      <c r="C42" s="220"/>
      <c r="E42" s="222">
        <f>Application!AF629</f>
        <v>960369.19405376108</v>
      </c>
      <c r="F42" s="222"/>
      <c r="G42" s="232">
        <f>$E$42</f>
        <v>960369.19405376108</v>
      </c>
      <c r="H42" s="222"/>
      <c r="I42" s="232">
        <f>$E$42</f>
        <v>960369.19405376108</v>
      </c>
      <c r="J42" s="222"/>
      <c r="K42" s="232">
        <f>$E$42</f>
        <v>960369.19405376108</v>
      </c>
      <c r="L42" s="222"/>
      <c r="M42" s="232">
        <f>$E$42</f>
        <v>960369.19405376108</v>
      </c>
      <c r="N42" s="222"/>
      <c r="O42" s="232">
        <f>$E$42</f>
        <v>960369.19405376108</v>
      </c>
      <c r="P42" s="222"/>
      <c r="Q42" s="232">
        <f>$E$42</f>
        <v>960369.19405376108</v>
      </c>
      <c r="R42" s="222"/>
      <c r="S42" s="232">
        <f>$E$42</f>
        <v>960369.19405376108</v>
      </c>
      <c r="T42" s="222"/>
      <c r="U42" s="232">
        <f>$E$42</f>
        <v>960369.19405376108</v>
      </c>
      <c r="V42" s="222"/>
      <c r="W42" s="232">
        <f>$E$42</f>
        <v>960369.19405376108</v>
      </c>
      <c r="X42" s="222"/>
      <c r="Y42" s="232">
        <f>$E$42</f>
        <v>960369.19405376108</v>
      </c>
      <c r="Z42" s="222"/>
      <c r="AA42" s="232">
        <f>$E$42</f>
        <v>960369.19405376108</v>
      </c>
      <c r="AB42" s="222"/>
      <c r="AC42" s="232">
        <f>$E$42</f>
        <v>960369.19405376108</v>
      </c>
      <c r="AD42" s="222"/>
      <c r="AE42" s="232">
        <f>$E$42</f>
        <v>960369.19405376108</v>
      </c>
      <c r="AF42" s="222"/>
      <c r="AG42" s="232">
        <f>$E$42</f>
        <v>960369.19405376108</v>
      </c>
    </row>
    <row r="43" spans="1:33" s="223" customFormat="1" ht="15">
      <c r="A43" s="223" t="s">
        <v>847</v>
      </c>
      <c r="C43" s="224"/>
      <c r="E43" s="223">
        <f>SUM(E40:E42)</f>
        <v>2314590.2552804234</v>
      </c>
      <c r="G43" s="223">
        <f>SUM(G40:G42)</f>
        <v>2314590.2552804234</v>
      </c>
      <c r="I43" s="223">
        <f>SUM(I40:I42)</f>
        <v>2314590.2552804234</v>
      </c>
      <c r="K43" s="223">
        <f>SUM(K40:K42)</f>
        <v>2314590.2552804234</v>
      </c>
      <c r="M43" s="223">
        <f>SUM(M40:M42)</f>
        <v>2314590.2552804234</v>
      </c>
      <c r="O43" s="223">
        <f>SUM(O40:O42)</f>
        <v>2314590.2552804234</v>
      </c>
      <c r="Q43" s="223">
        <f>SUM(Q40:Q42)</f>
        <v>2314590.2552804234</v>
      </c>
      <c r="S43" s="223">
        <f>SUM(S40:S42)</f>
        <v>2314590.2552804234</v>
      </c>
      <c r="U43" s="223">
        <f>SUM(U40:U42)</f>
        <v>2314590.2552804234</v>
      </c>
      <c r="W43" s="223">
        <f>SUM(W40:W42)</f>
        <v>2314590.2552804234</v>
      </c>
      <c r="Y43" s="223">
        <f>SUM(Y40:Y42)</f>
        <v>2314590.2552804234</v>
      </c>
      <c r="AA43" s="223">
        <f>SUM(AA40:AA42)</f>
        <v>2314590.2552804234</v>
      </c>
      <c r="AC43" s="223">
        <f>SUM(AC40:AC42)</f>
        <v>2314590.2552804234</v>
      </c>
      <c r="AE43" s="223">
        <f>SUM(AE40:AE42)</f>
        <v>2314590.2552804234</v>
      </c>
      <c r="AG43" s="223">
        <f>SUM(AG40:AG42)</f>
        <v>2314590.2552804234</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354187.42471957672</v>
      </c>
      <c r="G45" s="223">
        <f>G37-G43</f>
        <v>412281.98051957693</v>
      </c>
      <c r="I45" s="223">
        <f>I37-I43</f>
        <v>471487.9073225758</v>
      </c>
      <c r="K45" s="223">
        <f>K37-K43</f>
        <v>531821.0544649302</v>
      </c>
      <c r="M45" s="223">
        <f>M37-M43</f>
        <v>593297.24978979863</v>
      </c>
      <c r="O45" s="223">
        <f>O37-O43</f>
        <v>655932.28448930802</v>
      </c>
      <c r="Q45" s="223">
        <f>Q37-Q43</f>
        <v>719741.89705604734</v>
      </c>
      <c r="S45" s="223">
        <f>S37-S43</f>
        <v>784741.75630373834</v>
      </c>
      <c r="U45" s="223">
        <f>U37-U43</f>
        <v>850947.44341522129</v>
      </c>
      <c r="W45" s="223">
        <f>W37-W43</f>
        <v>918374.43297432875</v>
      </c>
      <c r="Y45" s="223">
        <f>Y37-Y43</f>
        <v>987038.07293631742</v>
      </c>
      <c r="AA45" s="223">
        <f>AA37-AA43</f>
        <v>1056953.563489812</v>
      </c>
      <c r="AC45" s="223">
        <f>AC37-AC43</f>
        <v>1128135.9347612518</v>
      </c>
      <c r="AE45" s="223">
        <f>AE37-AE43</f>
        <v>1200600.0233109216</v>
      </c>
      <c r="AG45" s="223">
        <f>AG37-AG43</f>
        <v>1274360.447367514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9.1238294633281342E-2</v>
      </c>
      <c r="G47" s="227">
        <f>G45/(G4+G6+G8)</f>
        <v>0.10361306234051378</v>
      </c>
      <c r="I47" s="227">
        <f>I45/(I4+I6+I8)</f>
        <v>0.11560239964214804</v>
      </c>
      <c r="K47" s="227">
        <f>K45/(K4+K6+K8)</f>
        <v>0.12721489155880672</v>
      </c>
      <c r="M47" s="227">
        <f>M45/(M4+M6+M8)</f>
        <v>0.13845890576233036</v>
      </c>
      <c r="O47" s="227">
        <f>O45/(O4+O6+O8)</f>
        <v>0.14934259779932751</v>
      </c>
      <c r="Q47" s="227">
        <f>Q45/(Q4+Q6+Q8)</f>
        <v>0.15987391618656185</v>
      </c>
      <c r="S47" s="227">
        <f>S45/(S4+S6+S8)</f>
        <v>0.17006060738130094</v>
      </c>
      <c r="U47" s="227">
        <f>U45/(U4+U6+U8)</f>
        <v>0.17991022062965692</v>
      </c>
      <c r="W47" s="227">
        <f>W45/(W4+W6+W8)</f>
        <v>0.18943011269590393</v>
      </c>
      <c r="Y47" s="227">
        <f>Y45/(Y4+Y6+Y8)</f>
        <v>0.19862745247565256</v>
      </c>
      <c r="AA47" s="227">
        <f>AA45/(AA4+AA6+AA8)</f>
        <v>0.20750922549571604</v>
      </c>
      <c r="AC47" s="227">
        <f>AC45/(AC4+AC6+AC8)</f>
        <v>0.21608223830341733</v>
      </c>
      <c r="AE47" s="227">
        <f>AE45/(AE4+AE6+AE8)</f>
        <v>0.22435312274803471</v>
      </c>
      <c r="AG47" s="227">
        <f>AG45/(AG4+AG6+AG8)</f>
        <v>0.23232834015699627</v>
      </c>
    </row>
    <row r="48" spans="1:33" s="227" customFormat="1" ht="14.25">
      <c r="A48" s="227" t="s">
        <v>851</v>
      </c>
      <c r="C48" s="220"/>
      <c r="E48" s="227">
        <f>E45/E43</f>
        <v>0.15302381227586445</v>
      </c>
      <c r="G48" s="227">
        <f>G45/G43</f>
        <v>0.17812309525584996</v>
      </c>
      <c r="I48" s="227">
        <f>I45/I43</f>
        <v>0.20370253708920624</v>
      </c>
      <c r="K48" s="227">
        <f>K45/K43</f>
        <v>0.22976898535352105</v>
      </c>
      <c r="M48" s="227">
        <f>M45/M43</f>
        <v>0.25632927834041963</v>
      </c>
      <c r="O48" s="227">
        <f>O45/O43</f>
        <v>0.28339023850674544</v>
      </c>
      <c r="Q48" s="227">
        <f>Q45/Q43</f>
        <v>0.31095866554093277</v>
      </c>
      <c r="S48" s="227">
        <f>S45/S43</f>
        <v>0.33904132902722484</v>
      </c>
      <c r="U48" s="227">
        <f>U45/U43</f>
        <v>0.3676449606896513</v>
      </c>
      <c r="W48" s="227">
        <f>W45/W43</f>
        <v>0.39677624619700275</v>
      </c>
      <c r="Y48" s="227">
        <f>Y45/Y43</f>
        <v>0.42644181650921759</v>
      </c>
      <c r="AA48" s="227">
        <f>AA45/AA43</f>
        <v>0.45664823874485599</v>
      </c>
      <c r="AC48" s="227">
        <f>AC45/AC43</f>
        <v>0.48740200654848642</v>
      </c>
      <c r="AE48" s="227">
        <f>AE45/AE43</f>
        <v>0.51870952993598574</v>
      </c>
      <c r="AG48" s="227">
        <f>AG45/AG43</f>
        <v>0.5505771245948321</v>
      </c>
    </row>
    <row r="49" spans="1:34" s="228" customFormat="1" ht="14.25">
      <c r="A49" s="228" t="s">
        <v>849</v>
      </c>
      <c r="C49" s="229"/>
      <c r="E49" s="228">
        <f>E37/E43</f>
        <v>1.1530238122758645</v>
      </c>
      <c r="G49" s="228">
        <f>G37/G43</f>
        <v>1.1781230952558499</v>
      </c>
      <c r="I49" s="228">
        <f>I37/I43</f>
        <v>1.2037025370892063</v>
      </c>
      <c r="K49" s="228">
        <f>K37/K43</f>
        <v>1.229768985353521</v>
      </c>
      <c r="M49" s="228">
        <f>M37/M43</f>
        <v>1.2563292783404196</v>
      </c>
      <c r="O49" s="228">
        <f>O37/O43</f>
        <v>1.2833902385067455</v>
      </c>
      <c r="Q49" s="228">
        <f>Q37/Q43</f>
        <v>1.3109586655409327</v>
      </c>
      <c r="S49" s="228">
        <f>S37/S43</f>
        <v>1.3390413290272247</v>
      </c>
      <c r="U49" s="228">
        <f>U37/U43</f>
        <v>1.3676449606896512</v>
      </c>
      <c r="W49" s="228">
        <f>W37/W43</f>
        <v>1.3967762461970028</v>
      </c>
      <c r="Y49" s="228">
        <f>Y37/Y43</f>
        <v>1.4264418165092176</v>
      </c>
      <c r="AA49" s="228">
        <f>AA37/AA43</f>
        <v>1.456648238744856</v>
      </c>
      <c r="AC49" s="228">
        <f>AC37/AC43</f>
        <v>1.4874020065484863</v>
      </c>
      <c r="AE49" s="228">
        <f>AE37/AE43</f>
        <v>1.5187095299359856</v>
      </c>
      <c r="AG49" s="228">
        <f>AG37/AG43</f>
        <v>1.5505771245948321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1183</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26000</v>
      </c>
      <c r="G53" s="960">
        <f>E53*$C$53</f>
        <v>26000</v>
      </c>
      <c r="I53" s="960">
        <f>G53*$C$53</f>
        <v>26000</v>
      </c>
      <c r="K53" s="960">
        <f>I53*$C$53</f>
        <v>26000</v>
      </c>
      <c r="M53" s="960">
        <f>K53*$C$53</f>
        <v>26000</v>
      </c>
      <c r="O53" s="960">
        <f>M53*$C$53</f>
        <v>26000</v>
      </c>
      <c r="Q53" s="960">
        <f>O53*$C$53</f>
        <v>26000</v>
      </c>
      <c r="S53" s="960">
        <f>Q53*$C$53</f>
        <v>26000</v>
      </c>
      <c r="U53" s="960">
        <f>S53*$C$53</f>
        <v>26000</v>
      </c>
      <c r="W53" s="960">
        <f>U53*$C$53</f>
        <v>26000</v>
      </c>
      <c r="Y53" s="960">
        <f>W53*$C$53</f>
        <v>26000</v>
      </c>
      <c r="AA53" s="960">
        <f>Y53*$C$53</f>
        <v>26000</v>
      </c>
      <c r="AC53" s="960">
        <f>AA53*$C$53</f>
        <v>26000</v>
      </c>
      <c r="AE53" s="960">
        <f>AC53*$C$53</f>
        <v>26000</v>
      </c>
      <c r="AG53" s="960">
        <f>AE53*$C$53</f>
        <v>26000</v>
      </c>
    </row>
    <row r="54" spans="1:34" s="3" customFormat="1">
      <c r="A54" s="3" t="s">
        <v>854</v>
      </c>
      <c r="C54" s="958"/>
      <c r="E54" s="965">
        <v>10000</v>
      </c>
      <c r="F54" s="960"/>
      <c r="G54" s="960">
        <f t="shared" ref="G54:U54" si="1">E54*$C$53</f>
        <v>10000</v>
      </c>
      <c r="H54" s="960"/>
      <c r="I54" s="960">
        <f t="shared" si="1"/>
        <v>10000</v>
      </c>
      <c r="J54" s="960"/>
      <c r="K54" s="960">
        <f t="shared" si="1"/>
        <v>10000</v>
      </c>
      <c r="L54" s="960"/>
      <c r="M54" s="960">
        <f t="shared" si="1"/>
        <v>10000</v>
      </c>
      <c r="N54" s="960"/>
      <c r="O54" s="960">
        <f t="shared" si="1"/>
        <v>10000</v>
      </c>
      <c r="P54" s="960"/>
      <c r="Q54" s="960">
        <f t="shared" si="1"/>
        <v>10000</v>
      </c>
      <c r="R54" s="960"/>
      <c r="S54" s="960">
        <f t="shared" si="1"/>
        <v>10000</v>
      </c>
      <c r="T54" s="960"/>
      <c r="U54" s="960">
        <f t="shared" si="1"/>
        <v>10000</v>
      </c>
      <c r="V54" s="960"/>
      <c r="W54" s="960">
        <f t="shared" ref="W54:AG54" si="2">U54*$C$53</f>
        <v>10000</v>
      </c>
      <c r="X54" s="960"/>
      <c r="Y54" s="960">
        <f t="shared" si="2"/>
        <v>10000</v>
      </c>
      <c r="Z54" s="960"/>
      <c r="AA54" s="960">
        <f t="shared" si="2"/>
        <v>10000</v>
      </c>
      <c r="AB54" s="960"/>
      <c r="AC54" s="960">
        <f t="shared" si="2"/>
        <v>10000</v>
      </c>
      <c r="AD54" s="960"/>
      <c r="AE54" s="960">
        <f t="shared" si="2"/>
        <v>10000</v>
      </c>
      <c r="AF54" s="960"/>
      <c r="AG54" s="960">
        <f t="shared" si="2"/>
        <v>10000</v>
      </c>
      <c r="AH54" s="960"/>
    </row>
    <row r="55" spans="1:34" s="3" customFormat="1">
      <c r="A55" s="3" t="s">
        <v>855</v>
      </c>
      <c r="C55" s="958"/>
      <c r="E55" s="965">
        <f>+E45-E53-E54-E56</f>
        <v>303187.42471957672</v>
      </c>
      <c r="F55" s="960"/>
      <c r="G55" s="960">
        <f>+G45-G53-G54-G56</f>
        <v>361281.98051957693</v>
      </c>
      <c r="H55" s="960"/>
      <c r="I55" s="960">
        <f>+I45-I53-I54-I56</f>
        <v>420487.9073225758</v>
      </c>
      <c r="J55" s="960"/>
      <c r="K55" s="960">
        <f>+K45-K53-K54-K56</f>
        <v>480821.0544649302</v>
      </c>
      <c r="L55" s="960"/>
      <c r="M55" s="960">
        <f>+M45-M53-M54-M56</f>
        <v>542297.24978979863</v>
      </c>
      <c r="N55" s="960"/>
      <c r="O55" s="960">
        <f>+O45-O53-O54-O56</f>
        <v>604932.28448930802</v>
      </c>
      <c r="P55" s="960"/>
      <c r="Q55" s="960">
        <f>+Q45-Q53-Q54-Q56</f>
        <v>668741.89705604734</v>
      </c>
      <c r="R55" s="960"/>
      <c r="S55" s="960">
        <f>+S45-S53-S54-S56</f>
        <v>733741.75630373834</v>
      </c>
      <c r="T55" s="960"/>
      <c r="U55" s="960">
        <f>+U45-U53-U54-U56</f>
        <v>799947.44341522129</v>
      </c>
      <c r="V55" s="960"/>
      <c r="W55" s="960">
        <f>+W45-W53-W54-W56</f>
        <v>867374.43297432875</v>
      </c>
      <c r="X55" s="960"/>
      <c r="Y55" s="960">
        <f>+Y45-Y53-Y54-Y56</f>
        <v>936038.07293631742</v>
      </c>
      <c r="Z55" s="960"/>
      <c r="AA55" s="960">
        <f>+AA45-AA53-AA54-AA56</f>
        <v>1005953.563489812</v>
      </c>
      <c r="AB55" s="960"/>
      <c r="AC55" s="960">
        <f>+AC45-AC53-AC54-AC56</f>
        <v>1077135.9347612518</v>
      </c>
      <c r="AD55" s="960"/>
      <c r="AE55" s="960">
        <f>+AE45-AE53-AE54-AE56</f>
        <v>1149600.0233109216</v>
      </c>
      <c r="AF55" s="960"/>
      <c r="AG55" s="960">
        <f>+AG45-AG53-AG54-AG56</f>
        <v>1223360.447367514</v>
      </c>
      <c r="AH55" s="960"/>
    </row>
    <row r="56" spans="1:34" s="3" customFormat="1">
      <c r="A56" s="966"/>
      <c r="B56" s="966"/>
      <c r="C56" s="958"/>
      <c r="E56" s="965">
        <v>15000</v>
      </c>
      <c r="F56" s="960"/>
      <c r="G56" s="960">
        <f t="shared" ref="G56:U57" si="3">E56*$C$53</f>
        <v>15000</v>
      </c>
      <c r="H56" s="960"/>
      <c r="I56" s="960">
        <f t="shared" si="3"/>
        <v>15000</v>
      </c>
      <c r="J56" s="960"/>
      <c r="K56" s="960">
        <f t="shared" si="3"/>
        <v>15000</v>
      </c>
      <c r="L56" s="960"/>
      <c r="M56" s="960">
        <f t="shared" si="3"/>
        <v>15000</v>
      </c>
      <c r="N56" s="960"/>
      <c r="O56" s="960">
        <f t="shared" si="3"/>
        <v>15000</v>
      </c>
      <c r="P56" s="960"/>
      <c r="Q56" s="960">
        <f t="shared" si="3"/>
        <v>15000</v>
      </c>
      <c r="R56" s="960"/>
      <c r="S56" s="960">
        <f t="shared" si="3"/>
        <v>15000</v>
      </c>
      <c r="T56" s="960"/>
      <c r="U56" s="960">
        <f t="shared" si="3"/>
        <v>15000</v>
      </c>
      <c r="V56" s="960"/>
      <c r="W56" s="960">
        <f t="shared" ref="W56:AG57" si="4">U56*$C$53</f>
        <v>15000</v>
      </c>
      <c r="X56" s="960"/>
      <c r="Y56" s="960">
        <f t="shared" si="4"/>
        <v>15000</v>
      </c>
      <c r="Z56" s="960"/>
      <c r="AA56" s="960">
        <f t="shared" si="4"/>
        <v>15000</v>
      </c>
      <c r="AB56" s="960"/>
      <c r="AC56" s="960">
        <f t="shared" si="4"/>
        <v>15000</v>
      </c>
      <c r="AD56" s="960"/>
      <c r="AE56" s="960">
        <f t="shared" si="4"/>
        <v>15000</v>
      </c>
      <c r="AF56" s="960"/>
      <c r="AG56" s="960">
        <f t="shared" si="4"/>
        <v>15000</v>
      </c>
      <c r="AH56" s="960"/>
    </row>
    <row r="57" spans="1:34" s="3" customFormat="1">
      <c r="A57" s="966"/>
      <c r="B57" s="966"/>
      <c r="C57" s="958"/>
      <c r="E57" s="967"/>
      <c r="F57" s="960"/>
      <c r="G57" s="968">
        <f t="shared" si="3"/>
        <v>0</v>
      </c>
      <c r="H57" s="960"/>
      <c r="I57" s="968">
        <f t="shared" si="3"/>
        <v>0</v>
      </c>
      <c r="J57" s="960"/>
      <c r="K57" s="968">
        <f t="shared" si="3"/>
        <v>0</v>
      </c>
      <c r="L57" s="960"/>
      <c r="M57" s="968">
        <f t="shared" si="3"/>
        <v>0</v>
      </c>
      <c r="N57" s="960"/>
      <c r="O57" s="968">
        <f t="shared" si="3"/>
        <v>0</v>
      </c>
      <c r="P57" s="960"/>
      <c r="Q57" s="968">
        <f t="shared" si="3"/>
        <v>0</v>
      </c>
      <c r="R57" s="960"/>
      <c r="S57" s="968">
        <f t="shared" si="3"/>
        <v>0</v>
      </c>
      <c r="T57" s="960"/>
      <c r="U57" s="968">
        <f t="shared" si="3"/>
        <v>0</v>
      </c>
      <c r="V57" s="960"/>
      <c r="W57" s="968">
        <f t="shared" si="4"/>
        <v>0</v>
      </c>
      <c r="X57" s="960"/>
      <c r="Y57" s="968">
        <f t="shared" si="4"/>
        <v>0</v>
      </c>
      <c r="Z57" s="960"/>
      <c r="AA57" s="968">
        <f t="shared" si="4"/>
        <v>0</v>
      </c>
      <c r="AB57" s="960"/>
      <c r="AC57" s="968">
        <f t="shared" si="4"/>
        <v>0</v>
      </c>
      <c r="AD57" s="960"/>
      <c r="AE57" s="968">
        <f t="shared" si="4"/>
        <v>0</v>
      </c>
      <c r="AF57" s="960"/>
      <c r="AG57" s="968">
        <f t="shared" si="4"/>
        <v>0</v>
      </c>
      <c r="AH57" s="960"/>
    </row>
    <row r="58" spans="1:34" s="3" customFormat="1">
      <c r="A58" s="962" t="s">
        <v>852</v>
      </c>
      <c r="C58" s="961"/>
      <c r="E58" s="960">
        <f>SUM(E53:E57)</f>
        <v>354187.42471957672</v>
      </c>
      <c r="F58" s="960"/>
      <c r="G58" s="960">
        <f>SUM(G53:G57)</f>
        <v>412281.98051957693</v>
      </c>
      <c r="H58" s="960"/>
      <c r="I58" s="960">
        <f>SUM(I53:I57)</f>
        <v>471487.9073225758</v>
      </c>
      <c r="J58" s="960"/>
      <c r="K58" s="960">
        <f>SUM(K53:K57)</f>
        <v>531821.0544649302</v>
      </c>
      <c r="L58" s="960"/>
      <c r="M58" s="960">
        <f>SUM(M53:M57)</f>
        <v>593297.24978979863</v>
      </c>
      <c r="N58" s="960"/>
      <c r="O58" s="960">
        <f>SUM(O53:O57)</f>
        <v>655932.28448930802</v>
      </c>
      <c r="P58" s="960"/>
      <c r="Q58" s="960">
        <f>SUM(Q53:Q57)</f>
        <v>719741.89705604734</v>
      </c>
      <c r="R58" s="960"/>
      <c r="S58" s="960">
        <f>SUM(S53:S57)</f>
        <v>784741.75630373834</v>
      </c>
      <c r="T58" s="960"/>
      <c r="U58" s="960">
        <f>SUM(U53:U57)</f>
        <v>850947.44341522129</v>
      </c>
      <c r="V58" s="960"/>
      <c r="W58" s="960">
        <f>SUM(W53:W57)</f>
        <v>918374.43297432875</v>
      </c>
      <c r="X58" s="960"/>
      <c r="Y58" s="960">
        <f>SUM(Y53:Y57)</f>
        <v>987038.07293631742</v>
      </c>
      <c r="Z58" s="960"/>
      <c r="AA58" s="960">
        <f>SUM(AA53:AA57)</f>
        <v>1056953.563489812</v>
      </c>
      <c r="AB58" s="960"/>
      <c r="AC58" s="960">
        <f>SUM(AC53:AC57)</f>
        <v>1128135.9347612518</v>
      </c>
      <c r="AD58" s="960"/>
      <c r="AE58" s="960">
        <f>SUM(AE53:AE57)</f>
        <v>1200600.0233109216</v>
      </c>
      <c r="AF58" s="960"/>
      <c r="AG58" s="960">
        <f>SUM(AG53:AG57)</f>
        <v>1274360.447367514</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0</v>
      </c>
      <c r="G60" s="962">
        <f>G45-G58</f>
        <v>0</v>
      </c>
      <c r="I60" s="962">
        <f>I45-I58</f>
        <v>0</v>
      </c>
      <c r="K60" s="962">
        <f>K45-K58</f>
        <v>0</v>
      </c>
      <c r="M60" s="962">
        <f>M45-M58</f>
        <v>0</v>
      </c>
      <c r="O60" s="962">
        <f>O45-O58</f>
        <v>0</v>
      </c>
      <c r="Q60" s="962">
        <f>Q45-Q58</f>
        <v>0</v>
      </c>
      <c r="S60" s="962">
        <f>S45-S58</f>
        <v>0</v>
      </c>
      <c r="U60" s="962">
        <f>U45-U58</f>
        <v>0</v>
      </c>
      <c r="W60" s="962">
        <f>W45-W58</f>
        <v>0</v>
      </c>
      <c r="Y60" s="962">
        <f>Y45-Y58</f>
        <v>0</v>
      </c>
      <c r="AA60" s="962">
        <f>AA45-AA58</f>
        <v>0</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89" t="s">
        <v>1183</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5">E68*$C$66</f>
        <v>0</v>
      </c>
      <c r="I68" s="960">
        <f t="shared" si="5"/>
        <v>0</v>
      </c>
      <c r="K68" s="960">
        <f t="shared" si="5"/>
        <v>0</v>
      </c>
      <c r="M68" s="960">
        <f t="shared" si="5"/>
        <v>0</v>
      </c>
      <c r="O68" s="960">
        <f t="shared" si="5"/>
        <v>0</v>
      </c>
      <c r="Q68" s="960">
        <f t="shared" si="5"/>
        <v>0</v>
      </c>
      <c r="S68" s="960">
        <f t="shared" si="5"/>
        <v>0</v>
      </c>
      <c r="U68" s="960">
        <f t="shared" si="5"/>
        <v>0</v>
      </c>
      <c r="W68" s="960">
        <f t="shared" si="5"/>
        <v>0</v>
      </c>
      <c r="Y68" s="960">
        <f t="shared" si="5"/>
        <v>0</v>
      </c>
      <c r="AA68" s="960">
        <f t="shared" si="5"/>
        <v>0</v>
      </c>
      <c r="AC68" s="960">
        <f t="shared" si="5"/>
        <v>0</v>
      </c>
      <c r="AE68" s="960">
        <f t="shared" si="5"/>
        <v>0</v>
      </c>
      <c r="AG68" s="960">
        <f t="shared" si="5"/>
        <v>0</v>
      </c>
    </row>
    <row r="69" spans="1:34" s="960" customFormat="1">
      <c r="A69" s="965"/>
      <c r="B69" s="965"/>
      <c r="C69" s="970"/>
      <c r="E69" s="967"/>
      <c r="G69" s="968">
        <f t="shared" si="5"/>
        <v>0</v>
      </c>
      <c r="I69" s="968">
        <f t="shared" si="5"/>
        <v>0</v>
      </c>
      <c r="K69" s="968">
        <f t="shared" si="5"/>
        <v>0</v>
      </c>
      <c r="M69" s="968">
        <f t="shared" si="5"/>
        <v>0</v>
      </c>
      <c r="O69" s="968">
        <f t="shared" si="5"/>
        <v>0</v>
      </c>
      <c r="Q69" s="968">
        <f t="shared" si="5"/>
        <v>0</v>
      </c>
      <c r="S69" s="968">
        <f t="shared" si="5"/>
        <v>0</v>
      </c>
      <c r="U69" s="968">
        <f t="shared" si="5"/>
        <v>0</v>
      </c>
      <c r="W69" s="968">
        <f t="shared" si="5"/>
        <v>0</v>
      </c>
      <c r="Y69" s="968">
        <f t="shared" si="5"/>
        <v>0</v>
      </c>
      <c r="AA69" s="968">
        <f t="shared" si="5"/>
        <v>0</v>
      </c>
      <c r="AC69" s="968">
        <f t="shared" si="5"/>
        <v>0</v>
      </c>
      <c r="AE69" s="968">
        <f t="shared" si="5"/>
        <v>0</v>
      </c>
      <c r="AG69" s="968">
        <f t="shared" si="5"/>
        <v>0</v>
      </c>
    </row>
    <row r="70" spans="1:34" s="960" customFormat="1">
      <c r="A70" s="962" t="s">
        <v>852</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87" t="s">
        <v>1720</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0</v>
      </c>
      <c r="C9" s="270">
        <f>SUM(C5:C8)</f>
        <v>0</v>
      </c>
      <c r="D9" s="270">
        <f t="shared" si="0"/>
        <v>0</v>
      </c>
      <c r="E9" s="268"/>
      <c r="F9" s="267"/>
    </row>
    <row r="10" spans="1:6" s="352" customFormat="1">
      <c r="A10" s="364" t="s">
        <v>593</v>
      </c>
      <c r="B10" s="266">
        <f>'Sources and Uses Budget'!$C9</f>
        <v>53000000</v>
      </c>
      <c r="C10" s="266">
        <f>'Sources and Uses Budget'!$C9</f>
        <v>53000000</v>
      </c>
      <c r="D10" s="270">
        <f t="shared" si="0"/>
        <v>0</v>
      </c>
      <c r="E10" s="268"/>
      <c r="F10" s="267"/>
    </row>
    <row r="11" spans="1:6" s="352" customFormat="1">
      <c r="A11" s="364" t="s">
        <v>594</v>
      </c>
      <c r="B11" s="266">
        <f>'Sources and Uses Budget'!$C10</f>
        <v>0</v>
      </c>
      <c r="C11" s="266">
        <f>'Sources and Uses Budget'!$C10</f>
        <v>0</v>
      </c>
      <c r="D11" s="270">
        <f t="shared" si="0"/>
        <v>0</v>
      </c>
      <c r="E11" s="268"/>
      <c r="F11" s="267"/>
    </row>
    <row r="12" spans="1:6" s="352" customFormat="1">
      <c r="A12" s="365" t="s">
        <v>595</v>
      </c>
      <c r="B12" s="270">
        <f>SUM(B10:B11)</f>
        <v>53000000</v>
      </c>
      <c r="C12" s="270">
        <f>SUM(C10:C11)</f>
        <v>53000000</v>
      </c>
      <c r="D12" s="270">
        <f t="shared" si="0"/>
        <v>0</v>
      </c>
      <c r="E12" s="268"/>
      <c r="F12" s="267"/>
    </row>
    <row r="13" spans="1:6" s="352" customFormat="1">
      <c r="A13" s="365" t="s">
        <v>84</v>
      </c>
      <c r="B13" s="270">
        <f>SUM(B9+B12)</f>
        <v>53000000</v>
      </c>
      <c r="C13" s="270">
        <f>SUM(C9+C12)</f>
        <v>53000000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8940000</v>
      </c>
      <c r="C18" s="266">
        <f>'Sources and Uses Budget'!$C17</f>
        <v>8940000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536400</v>
      </c>
      <c r="C20" s="266">
        <f>'Sources and Uses Budget'!$C19</f>
        <v>536400</v>
      </c>
      <c r="D20" s="270">
        <f t="shared" si="0"/>
        <v>0</v>
      </c>
      <c r="E20" s="268"/>
      <c r="F20" s="267"/>
    </row>
    <row r="21" spans="1:6" s="352" customFormat="1">
      <c r="A21" s="145" t="s">
        <v>137</v>
      </c>
      <c r="B21" s="266">
        <f>'Sources and Uses Budget'!$C20</f>
        <v>178800</v>
      </c>
      <c r="C21" s="266">
        <f>'Sources and Uses Budget'!$C20</f>
        <v>178800</v>
      </c>
      <c r="D21" s="270">
        <f t="shared" si="0"/>
        <v>0</v>
      </c>
      <c r="E21" s="268"/>
      <c r="F21" s="267"/>
    </row>
    <row r="22" spans="1:6" s="352" customFormat="1">
      <c r="A22" s="145" t="s">
        <v>138</v>
      </c>
      <c r="B22" s="266">
        <f>'Sources and Uses Budget'!$C21</f>
        <v>536400</v>
      </c>
      <c r="C22" s="266">
        <f>'Sources and Uses Budget'!$C21</f>
        <v>536400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134100</v>
      </c>
      <c r="C24" s="266">
        <f>'Sources and Uses Budget'!$C23</f>
        <v>134100</v>
      </c>
      <c r="D24" s="270">
        <f t="shared" si="0"/>
        <v>0</v>
      </c>
      <c r="E24" s="268"/>
      <c r="F24" s="267"/>
    </row>
    <row r="25" spans="1:6" s="352" customFormat="1">
      <c r="A25" s="508" t="s">
        <v>1639</v>
      </c>
      <c r="B25" s="266">
        <f>'Sources and Uses Budget'!$C24</f>
        <v>288830</v>
      </c>
      <c r="C25" s="266">
        <f>'Sources and Uses Budget'!$C24</f>
        <v>288830</v>
      </c>
      <c r="D25" s="270">
        <f t="shared" si="0"/>
        <v>0</v>
      </c>
      <c r="E25" s="268"/>
      <c r="F25" s="267"/>
    </row>
    <row r="26" spans="1:6" s="352" customFormat="1">
      <c r="A26" s="155" t="str">
        <f>'Sources and Uses Budget'!A25</f>
        <v>Performance Bond</v>
      </c>
      <c r="B26" s="266">
        <f>'Sources and Uses Budget'!$C25</f>
        <v>134100</v>
      </c>
      <c r="C26" s="266">
        <f>'Sources and Uses Budget'!$C25</f>
        <v>134100</v>
      </c>
      <c r="D26" s="270">
        <f t="shared" si="0"/>
        <v>0</v>
      </c>
      <c r="E26" s="268"/>
      <c r="F26" s="267"/>
    </row>
    <row r="27" spans="1:6" s="352" customFormat="1">
      <c r="A27" s="1018" t="s">
        <v>133</v>
      </c>
      <c r="B27" s="270">
        <f>SUM(B18:B26)</f>
        <v>10748630</v>
      </c>
      <c r="C27" s="270">
        <f>SUM(C18:C26)</f>
        <v>10748630</v>
      </c>
      <c r="D27" s="270">
        <f>SUM(D18:D26)</f>
        <v>0</v>
      </c>
      <c r="E27" s="268"/>
      <c r="F27" s="267"/>
    </row>
    <row r="28" spans="1:6" s="352" customFormat="1">
      <c r="A28" s="271" t="s">
        <v>141</v>
      </c>
      <c r="B28" s="266">
        <f>'Sources and Uses Budget'!$C$27</f>
        <v>588000</v>
      </c>
      <c r="C28" s="266">
        <f>'Sources and Uses Budget'!$C$27</f>
        <v>588000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0</v>
      </c>
      <c r="C30" s="266">
        <f>'Sources and Uses Budget'!$C29</f>
        <v>0</v>
      </c>
      <c r="D30" s="270">
        <f t="shared" si="0"/>
        <v>0</v>
      </c>
      <c r="E30" s="268"/>
      <c r="F30" s="267"/>
    </row>
    <row r="31" spans="1:6" s="352" customFormat="1">
      <c r="A31" s="145" t="s">
        <v>598</v>
      </c>
      <c r="B31" s="266">
        <f>'Sources and Uses Budget'!$C30</f>
        <v>0</v>
      </c>
      <c r="C31" s="266">
        <f>'Sources and Uses Budget'!$C30</f>
        <v>0</v>
      </c>
      <c r="D31" s="270">
        <f t="shared" si="0"/>
        <v>0</v>
      </c>
      <c r="E31" s="268"/>
      <c r="F31" s="267"/>
    </row>
    <row r="32" spans="1:6" s="352" customFormat="1">
      <c r="A32" s="145" t="s">
        <v>599</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102000</v>
      </c>
      <c r="C41" s="266">
        <f>'Sources and Uses Budget'!$C40</f>
        <v>102000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102000</v>
      </c>
      <c r="C43" s="270">
        <f>SUM(C41:C42)</f>
        <v>102000</v>
      </c>
      <c r="D43" s="270">
        <f t="shared" si="0"/>
        <v>0</v>
      </c>
      <c r="E43" s="268"/>
      <c r="F43" s="267"/>
    </row>
    <row r="44" spans="1:6" s="352" customFormat="1">
      <c r="A44" s="271" t="s">
        <v>148</v>
      </c>
      <c r="B44" s="266">
        <f>'Sources and Uses Budget'!$C43</f>
        <v>8000</v>
      </c>
      <c r="C44" s="266">
        <f>'Sources and Uses Budget'!$C43</f>
        <v>8000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100000</v>
      </c>
      <c r="C46" s="266">
        <f>'Sources and Uses Budget'!$C45</f>
        <v>100000</v>
      </c>
      <c r="D46" s="270">
        <f t="shared" si="0"/>
        <v>0</v>
      </c>
      <c r="E46" s="268"/>
      <c r="F46" s="267"/>
    </row>
    <row r="47" spans="1:6" s="352" customFormat="1">
      <c r="A47" s="145" t="s">
        <v>151</v>
      </c>
      <c r="B47" s="266">
        <f>'Sources and Uses Budget'!$C46</f>
        <v>40000</v>
      </c>
      <c r="C47" s="266">
        <f>'Sources and Uses Budget'!$C46</f>
        <v>40000</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223800</v>
      </c>
      <c r="C50" s="266">
        <f>'Sources and Uses Budget'!$C49</f>
        <v>223800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Lender Inspection</v>
      </c>
      <c r="B54" s="266">
        <f>'Sources and Uses Budget'!$C53</f>
        <v>42500</v>
      </c>
      <c r="C54" s="266">
        <f>'Sources and Uses Budget'!$C53</f>
        <v>42500</v>
      </c>
      <c r="D54" s="270">
        <f t="shared" si="0"/>
        <v>0</v>
      </c>
      <c r="E54" s="268"/>
      <c r="F54" s="267"/>
    </row>
    <row r="55" spans="1:6" s="353" customFormat="1">
      <c r="A55" s="271" t="s">
        <v>157</v>
      </c>
      <c r="B55" s="273">
        <f>SUM(B46:B54)</f>
        <v>516300</v>
      </c>
      <c r="C55" s="273">
        <f>SUM(C46:C54)</f>
        <v>516300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300000</v>
      </c>
      <c r="C57" s="266">
        <f>'Sources and Uses Budget'!$C56</f>
        <v>300000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300000</v>
      </c>
      <c r="C63" s="270">
        <f>SUM(C57:C62)</f>
        <v>300000</v>
      </c>
      <c r="D63" s="270">
        <f t="shared" si="0"/>
        <v>0</v>
      </c>
      <c r="E63" s="268"/>
      <c r="F63" s="267"/>
    </row>
    <row r="64" spans="1:6" s="352" customFormat="1">
      <c r="A64" s="274" t="s">
        <v>302</v>
      </c>
      <c r="B64" s="270">
        <f>SUM(B9+B12+B14+B15+B17+B26+B28+B39+B43+B44+B55+B63)</f>
        <v>54648400</v>
      </c>
      <c r="C64" s="270">
        <f>SUM(C9+C12+C14+C15+C17+C26+C28+C39+C43+C44+C55+C63)</f>
        <v>54648400</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70000</v>
      </c>
      <c r="C66" s="266">
        <f>'Sources and Uses Budget'!$C65</f>
        <v>70000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100000</v>
      </c>
      <c r="C68" s="266">
        <f>'Sources and Uses Budget'!$C67</f>
        <v>100000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Counsel: borrower</v>
      </c>
      <c r="B70" s="266">
        <f>'Sources and Uses Budget'!$C69</f>
        <v>300000</v>
      </c>
      <c r="C70" s="266">
        <f>'Sources and Uses Budget'!$C69</f>
        <v>300000</v>
      </c>
      <c r="D70" s="270">
        <f t="shared" si="0"/>
        <v>0</v>
      </c>
      <c r="E70" s="268"/>
      <c r="F70" s="267"/>
    </row>
    <row r="71" spans="1:6" s="352" customFormat="1">
      <c r="A71" s="149" t="s">
        <v>1644</v>
      </c>
      <c r="B71" s="270">
        <f>SUM(B66:B70)</f>
        <v>470000</v>
      </c>
      <c r="C71" s="270">
        <f>SUM(C66:C70)</f>
        <v>470000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300000</v>
      </c>
      <c r="C75" s="266">
        <f>'Sources and Uses Budget'!$C74</f>
        <v>300000</v>
      </c>
      <c r="D75" s="270">
        <f t="shared" si="0"/>
        <v>0</v>
      </c>
      <c r="E75" s="268"/>
      <c r="F75" s="267"/>
    </row>
    <row r="76" spans="1:6" s="352" customFormat="1">
      <c r="A76" s="269" t="s">
        <v>604</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300000</v>
      </c>
      <c r="C78" s="270">
        <f>SUM(C73:C77)</f>
        <v>300000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522990</v>
      </c>
      <c r="C80" s="266">
        <f>'Sources and Uses Budget'!$C79</f>
        <v>522990</v>
      </c>
      <c r="D80" s="270">
        <f t="shared" si="1"/>
        <v>0</v>
      </c>
      <c r="E80" s="268"/>
      <c r="F80" s="267"/>
    </row>
    <row r="81" spans="1:6" s="352" customFormat="1">
      <c r="A81" s="510" t="s">
        <v>58</v>
      </c>
      <c r="B81" s="266">
        <f>'Sources and Uses Budget'!$C80</f>
        <v>25000</v>
      </c>
      <c r="C81" s="266">
        <f>'Sources and Uses Budget'!$C80</f>
        <v>25000</v>
      </c>
      <c r="D81" s="270">
        <f>C81-B81</f>
        <v>0</v>
      </c>
      <c r="E81" s="268"/>
      <c r="F81" s="267"/>
    </row>
    <row r="82" spans="1:6" s="352" customFormat="1">
      <c r="A82" s="271" t="s">
        <v>1208</v>
      </c>
      <c r="B82" s="270">
        <f>SUM(B80:B81)</f>
        <v>547990</v>
      </c>
      <c r="C82" s="270">
        <f>SUM(C80:C81)</f>
        <v>547990</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137243</v>
      </c>
      <c r="C84" s="266">
        <f>'Sources and Uses Budget'!$C83</f>
        <v>137243</v>
      </c>
      <c r="D84" s="270">
        <f t="shared" si="1"/>
        <v>0</v>
      </c>
      <c r="E84" s="268"/>
      <c r="F84" s="267"/>
    </row>
    <row r="85" spans="1:6" s="352" customFormat="1">
      <c r="A85" s="269" t="s">
        <v>766</v>
      </c>
      <c r="B85" s="266">
        <f>'Sources and Uses Budget'!$C84</f>
        <v>62000</v>
      </c>
      <c r="C85" s="266">
        <f>'Sources and Uses Budget'!$C84</f>
        <v>62000</v>
      </c>
      <c r="D85" s="270">
        <f t="shared" si="1"/>
        <v>0</v>
      </c>
      <c r="E85" s="268"/>
      <c r="F85" s="267"/>
    </row>
    <row r="86" spans="1:6" s="352" customFormat="1">
      <c r="A86" s="269" t="s">
        <v>767</v>
      </c>
      <c r="B86" s="266">
        <f>'Sources and Uses Budget'!$C85</f>
        <v>0</v>
      </c>
      <c r="C86" s="266">
        <f>'Sources and Uses Budget'!$C85</f>
        <v>0</v>
      </c>
      <c r="D86" s="270">
        <f t="shared" si="1"/>
        <v>0</v>
      </c>
      <c r="E86" s="268"/>
      <c r="F86" s="267"/>
    </row>
    <row r="87" spans="1:6" s="352" customFormat="1">
      <c r="A87" s="269" t="s">
        <v>768</v>
      </c>
      <c r="B87" s="266">
        <f>'Sources and Uses Budget'!$C86</f>
        <v>24455</v>
      </c>
      <c r="C87" s="266">
        <f>'Sources and Uses Budget'!$C86</f>
        <v>24455</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0</v>
      </c>
      <c r="C89" s="266">
        <f>'Sources and Uses Budget'!$C88</f>
        <v>0</v>
      </c>
      <c r="D89" s="270">
        <f t="shared" si="1"/>
        <v>0</v>
      </c>
      <c r="E89" s="268"/>
      <c r="F89" s="267"/>
    </row>
    <row r="90" spans="1:6" s="352" customFormat="1">
      <c r="A90" s="269" t="s">
        <v>771</v>
      </c>
      <c r="B90" s="266">
        <f>'Sources and Uses Budget'!$C89</f>
        <v>75000</v>
      </c>
      <c r="C90" s="266">
        <f>'Sources and Uses Budget'!$C89</f>
        <v>75000</v>
      </c>
      <c r="D90" s="270">
        <f t="shared" si="1"/>
        <v>0</v>
      </c>
      <c r="E90" s="268"/>
      <c r="F90" s="267"/>
    </row>
    <row r="91" spans="1:6" s="352" customFormat="1">
      <c r="A91" s="269" t="s">
        <v>772</v>
      </c>
      <c r="B91" s="266">
        <f>'Sources and Uses Budget'!$C90</f>
        <v>13250</v>
      </c>
      <c r="C91" s="266">
        <f>'Sources and Uses Budget'!$C90</f>
        <v>13250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1210</v>
      </c>
      <c r="B93" s="266">
        <f>'Sources and Uses Budget'!$C92</f>
        <v>6750</v>
      </c>
      <c r="C93" s="266">
        <f>'Sources and Uses Budget'!$C92</f>
        <v>6750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333698</v>
      </c>
      <c r="C97" s="270">
        <f>SUM(C84:C96)</f>
        <v>333698</v>
      </c>
      <c r="D97" s="270">
        <f t="shared" si="1"/>
        <v>0</v>
      </c>
      <c r="E97" s="268"/>
      <c r="F97" s="267"/>
    </row>
    <row r="98" spans="1:6" s="352" customFormat="1">
      <c r="A98" s="271" t="s">
        <v>774</v>
      </c>
      <c r="B98" s="270">
        <f>SUM(B64+B71+B78+B82+B97)</f>
        <v>56300088</v>
      </c>
      <c r="C98" s="270">
        <f>SUM(C64+C71+C78+C82+C97)</f>
        <v>56300088</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0</v>
      </c>
      <c r="C100" s="266">
        <f>'Sources and Uses Budget'!$C99</f>
        <v>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0</v>
      </c>
      <c r="C105" s="270">
        <f>SUM(C100:C104)</f>
        <v>0</v>
      </c>
      <c r="D105" s="270">
        <f t="shared" si="1"/>
        <v>0</v>
      </c>
      <c r="E105" s="268"/>
      <c r="F105" s="267"/>
    </row>
    <row r="106" spans="1:6" s="352" customFormat="1">
      <c r="A106" s="271" t="s">
        <v>779</v>
      </c>
      <c r="B106" s="273">
        <f>SUM(B98+B105)</f>
        <v>56300088</v>
      </c>
      <c r="C106" s="273">
        <f>SUM(C98+C105)</f>
        <v>56300088</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5" ma:contentTypeDescription="Create a new document." ma:contentTypeScope="" ma:versionID="395169679001f8cba9b5fc6206b382a4">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38dc33a95a21353f1df3993b71f9368e"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c49b413-54a5-43fa-898a-b5a49d3369d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9c76280-48af-4cd5-97fc-a278b6717313}"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482B9D-D313-41BF-A257-E4975394D4EA}">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1C1DEDAC-9100-43D9-A723-008F3607A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B8154C-DA66-4405-889A-6D2BDA920895}">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2025-08-25T20:00:44Z</cp:lastPrinted>
  <dcterms:created xsi:type="dcterms:W3CDTF">2007-12-27T18:26:28Z</dcterms:created>
  <dcterms:modified xsi:type="dcterms:W3CDTF">2025-09-05T18:49:20Z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y fmtid="{D5CDD505-2E9C-101B-9397-08002B2CF9AE}" pid="3" name="MediaServiceImageTags">
    <vt:lpwstr/>
  </property>
</Properties>
</file>